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7185" tabRatio="970" activeTab="5"/>
  </bookViews>
  <sheets>
    <sheet name="สรุปยอด" sheetId="1" r:id="rId1"/>
    <sheet name="1.ยาทั่วไป" sheetId="2" r:id="rId2"/>
    <sheet name="2.ยาแพทย์ PCC" sheetId="3" r:id="rId3"/>
    <sheet name="3.ยาเรื้อรัง 20%" sheetId="4" r:id="rId4"/>
    <sheet name="4.ยาเรื้อรังฟรี" sheetId="5" r:id="rId5"/>
    <sheet name="5.vaccine" sheetId="6" r:id="rId6"/>
    <sheet name="1.1รวมยาทั้งหมด(1+2+3+4)" sheetId="13" r:id="rId7"/>
    <sheet name="1.2 ยาทั้งหมดรวมvaccin" sheetId="14" r:id="rId8"/>
    <sheet name="1.3 ยา+ไม่รวมvaccin+วชยทั้งหมด" sheetId="16" r:id="rId9"/>
    <sheet name="2.รวมวชย ทุกประเภท" sheetId="17" r:id="rId10"/>
    <sheet name="2.1วสด.การแพทย์" sheetId="7" r:id="rId11"/>
    <sheet name="2.2วสด.สนง" sheetId="8" r:id="rId12"/>
    <sheet name="2.3วสด.งานบ้าน" sheetId="11" r:id="rId13"/>
    <sheet name="2.4วสด. LAB" sheetId="9" r:id="rId14"/>
    <sheet name="2.5วสด. dent" sheetId="10" r:id="rId15"/>
    <sheet name="2.6วสด.เภสัช" sheetId="12" r:id="rId16"/>
  </sheets>
  <externalReferences>
    <externalReference r:id="rId17"/>
  </externalReferences>
  <calcPr calcId="144525"/>
</workbook>
</file>

<file path=xl/calcChain.xml><?xml version="1.0" encoding="utf-8"?>
<calcChain xmlns="http://schemas.openxmlformats.org/spreadsheetml/2006/main">
  <c r="E27" i="6" l="1"/>
  <c r="E23" i="6"/>
  <c r="E15" i="9"/>
  <c r="E23" i="9" s="1"/>
  <c r="E27" i="9" s="1"/>
  <c r="E23" i="11"/>
  <c r="E27" i="11" s="1"/>
  <c r="E15" i="7"/>
  <c r="E23" i="7" s="1"/>
  <c r="E15" i="6"/>
  <c r="E27" i="12"/>
  <c r="E24" i="2"/>
  <c r="E26" i="2" s="1"/>
  <c r="E24" i="11"/>
  <c r="E24" i="7"/>
  <c r="E27" i="8"/>
  <c r="E23" i="8"/>
  <c r="E27" i="10"/>
  <c r="E26" i="10"/>
  <c r="E23" i="10"/>
  <c r="E26" i="12"/>
  <c r="E23" i="12"/>
  <c r="E21" i="7"/>
  <c r="E20" i="11"/>
  <c r="E20" i="7"/>
  <c r="E19" i="11"/>
  <c r="E19" i="7"/>
  <c r="E18" i="11"/>
  <c r="E18" i="7"/>
  <c r="E17" i="11"/>
  <c r="E17" i="7"/>
  <c r="E16" i="7"/>
  <c r="E14" i="11"/>
  <c r="E14" i="7"/>
  <c r="E13" i="11"/>
  <c r="E13" i="7"/>
  <c r="E12" i="9"/>
  <c r="E12" i="7"/>
  <c r="E12" i="11"/>
  <c r="E10" i="11"/>
  <c r="E11" i="7"/>
  <c r="E8" i="9"/>
  <c r="E8" i="7"/>
  <c r="E7" i="9"/>
  <c r="E7" i="7"/>
  <c r="E6" i="7"/>
  <c r="E5" i="7"/>
  <c r="E27" i="4"/>
  <c r="E26" i="4"/>
  <c r="E23" i="4"/>
  <c r="E15" i="4"/>
  <c r="E12" i="2"/>
  <c r="E12" i="4"/>
  <c r="E9" i="4"/>
  <c r="E6" i="4"/>
  <c r="E5" i="4"/>
  <c r="E23" i="2"/>
  <c r="E20" i="2"/>
  <c r="E19" i="2"/>
  <c r="E18" i="2"/>
  <c r="E17" i="2"/>
  <c r="E15" i="2"/>
  <c r="E14" i="2"/>
  <c r="E13" i="2"/>
  <c r="E11" i="2"/>
  <c r="E10" i="2"/>
  <c r="E8" i="2"/>
  <c r="E27" i="2" l="1"/>
  <c r="D27" i="6"/>
  <c r="D23" i="6"/>
  <c r="D27" i="11"/>
  <c r="D26" i="11"/>
  <c r="D23" i="11"/>
  <c r="D27" i="8"/>
  <c r="D26" i="8"/>
  <c r="D27" i="7"/>
  <c r="D26" i="7"/>
  <c r="D27" i="9"/>
  <c r="D23" i="9"/>
  <c r="D24" i="7"/>
  <c r="D23" i="7"/>
  <c r="D22" i="9"/>
  <c r="D22" i="11"/>
  <c r="D22" i="7"/>
  <c r="D21" i="7"/>
  <c r="D20" i="7"/>
  <c r="D19" i="7"/>
  <c r="D18" i="7"/>
  <c r="D16" i="7"/>
  <c r="D15" i="7"/>
  <c r="D14" i="7"/>
  <c r="D13" i="7"/>
  <c r="D12" i="7"/>
  <c r="D11" i="7"/>
  <c r="D10" i="7"/>
  <c r="D9" i="7"/>
  <c r="D9" i="9"/>
  <c r="D8" i="7"/>
  <c r="D7" i="11"/>
  <c r="D7" i="7"/>
  <c r="D5" i="9"/>
  <c r="D5" i="7"/>
  <c r="D5" i="11"/>
  <c r="D27" i="4"/>
  <c r="D26" i="4"/>
  <c r="D23" i="4"/>
  <c r="D22" i="4"/>
  <c r="D20" i="4"/>
  <c r="D13" i="4"/>
  <c r="D12" i="4"/>
  <c r="D9" i="4"/>
  <c r="D7" i="4"/>
  <c r="D6" i="4"/>
  <c r="D5" i="4"/>
  <c r="D27" i="2"/>
  <c r="D26" i="2"/>
  <c r="D24" i="2"/>
  <c r="D23" i="2"/>
  <c r="D22" i="2"/>
  <c r="D20" i="2"/>
  <c r="D19" i="2"/>
  <c r="D17" i="2"/>
  <c r="D15" i="2"/>
  <c r="D14" i="2"/>
  <c r="D13" i="2"/>
  <c r="D12" i="2"/>
  <c r="D11" i="2"/>
  <c r="D10" i="2"/>
  <c r="D9" i="2"/>
  <c r="D8" i="2"/>
  <c r="D6" i="2"/>
  <c r="D5" i="2"/>
  <c r="C7" i="4" l="1"/>
  <c r="C5" i="2"/>
  <c r="C5" i="4"/>
  <c r="O27" i="12" l="1"/>
  <c r="O26" i="12"/>
  <c r="O24" i="12"/>
  <c r="O23" i="12"/>
  <c r="O11" i="12"/>
  <c r="O5" i="12"/>
  <c r="C27" i="10"/>
  <c r="C26" i="10"/>
  <c r="C27" i="9"/>
  <c r="C23" i="9"/>
  <c r="C27" i="11"/>
  <c r="C26" i="11"/>
  <c r="C23" i="11"/>
  <c r="C27" i="8"/>
  <c r="C23" i="8"/>
  <c r="C27" i="7"/>
  <c r="C26" i="7"/>
  <c r="C23" i="7"/>
  <c r="C26" i="4"/>
  <c r="C23" i="6"/>
  <c r="C27" i="6" s="1"/>
  <c r="C7" i="7"/>
  <c r="C7" i="2"/>
  <c r="C23" i="10"/>
  <c r="C27" i="12"/>
  <c r="C23" i="12"/>
  <c r="C24" i="7"/>
  <c r="C22" i="7"/>
  <c r="C21" i="9"/>
  <c r="C21" i="7"/>
  <c r="C18" i="11"/>
  <c r="C18" i="7"/>
  <c r="C16" i="9"/>
  <c r="C17" i="7"/>
  <c r="C16" i="7"/>
  <c r="C15" i="7"/>
  <c r="C15" i="11" l="1"/>
  <c r="C13" i="7"/>
  <c r="C12" i="7"/>
  <c r="C11" i="7"/>
  <c r="C10" i="11"/>
  <c r="C7" i="10"/>
  <c r="C6" i="7"/>
  <c r="C5" i="12"/>
  <c r="C5" i="9"/>
  <c r="C5" i="7"/>
  <c r="C5" i="11"/>
  <c r="C23" i="4"/>
  <c r="C27" i="4" s="1"/>
  <c r="C21" i="4"/>
  <c r="C17" i="4"/>
  <c r="C9" i="4"/>
  <c r="C26" i="2"/>
  <c r="C23" i="2"/>
  <c r="C27" i="2" s="1"/>
  <c r="C21" i="2"/>
  <c r="C18" i="2"/>
  <c r="C17" i="2"/>
  <c r="C16" i="2"/>
  <c r="D26" i="16" l="1"/>
  <c r="E26" i="16"/>
  <c r="F26" i="16"/>
  <c r="G26" i="16"/>
  <c r="H26" i="16"/>
  <c r="I26" i="16"/>
  <c r="J26" i="16"/>
  <c r="K26" i="16"/>
  <c r="L26" i="16"/>
  <c r="M26" i="16"/>
  <c r="N26" i="16"/>
  <c r="C26" i="16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5" i="10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5" i="9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5" i="2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5" i="4"/>
  <c r="O26" i="10" l="1"/>
  <c r="O27" i="4"/>
  <c r="O23" i="2"/>
  <c r="O27" i="10"/>
  <c r="O23" i="10"/>
  <c r="O24" i="10" l="1"/>
  <c r="K1" i="2" l="1"/>
  <c r="H25" i="13" l="1"/>
  <c r="H25" i="14" s="1"/>
  <c r="I25" i="13"/>
  <c r="I25" i="14" s="1"/>
  <c r="J25" i="13"/>
  <c r="K25" i="13"/>
  <c r="K25" i="14" s="1"/>
  <c r="L25" i="13"/>
  <c r="L25" i="14" s="1"/>
  <c r="M25" i="13"/>
  <c r="M25" i="14" s="1"/>
  <c r="N25" i="13"/>
  <c r="I24" i="13"/>
  <c r="I26" i="13" s="1"/>
  <c r="J24" i="13"/>
  <c r="K24" i="13"/>
  <c r="L24" i="13"/>
  <c r="M24" i="13"/>
  <c r="M26" i="13" s="1"/>
  <c r="N24" i="13"/>
  <c r="H6" i="13"/>
  <c r="I6" i="13"/>
  <c r="J6" i="13"/>
  <c r="K6" i="13"/>
  <c r="L6" i="13"/>
  <c r="M6" i="13"/>
  <c r="N6" i="13"/>
  <c r="H7" i="13"/>
  <c r="I7" i="13"/>
  <c r="J7" i="13"/>
  <c r="K7" i="13"/>
  <c r="L7" i="13"/>
  <c r="M7" i="13"/>
  <c r="N7" i="13"/>
  <c r="H8" i="13"/>
  <c r="I8" i="13"/>
  <c r="J8" i="13"/>
  <c r="K8" i="13"/>
  <c r="L8" i="13"/>
  <c r="M8" i="13"/>
  <c r="N8" i="13"/>
  <c r="H9" i="13"/>
  <c r="I9" i="13"/>
  <c r="J9" i="13"/>
  <c r="K9" i="13"/>
  <c r="L9" i="13"/>
  <c r="M9" i="13"/>
  <c r="N9" i="13"/>
  <c r="H10" i="13"/>
  <c r="I10" i="13"/>
  <c r="J10" i="13"/>
  <c r="K10" i="13"/>
  <c r="L10" i="13"/>
  <c r="M10" i="13"/>
  <c r="N10" i="13"/>
  <c r="H11" i="13"/>
  <c r="I11" i="13"/>
  <c r="J11" i="13"/>
  <c r="K11" i="13"/>
  <c r="L11" i="13"/>
  <c r="M11" i="13"/>
  <c r="N11" i="13"/>
  <c r="H12" i="13"/>
  <c r="I12" i="13"/>
  <c r="J12" i="13"/>
  <c r="K12" i="13"/>
  <c r="L12" i="13"/>
  <c r="M12" i="13"/>
  <c r="N12" i="13"/>
  <c r="H13" i="13"/>
  <c r="I13" i="13"/>
  <c r="J13" i="13"/>
  <c r="K13" i="13"/>
  <c r="L13" i="13"/>
  <c r="M13" i="13"/>
  <c r="N13" i="13"/>
  <c r="H14" i="13"/>
  <c r="I14" i="13"/>
  <c r="J14" i="13"/>
  <c r="K14" i="13"/>
  <c r="L14" i="13"/>
  <c r="M14" i="13"/>
  <c r="N14" i="13"/>
  <c r="H15" i="13"/>
  <c r="I15" i="13"/>
  <c r="J15" i="13"/>
  <c r="K15" i="13"/>
  <c r="L15" i="13"/>
  <c r="M15" i="13"/>
  <c r="N15" i="13"/>
  <c r="H16" i="13"/>
  <c r="I16" i="13"/>
  <c r="J16" i="13"/>
  <c r="K16" i="13"/>
  <c r="L16" i="13"/>
  <c r="M16" i="13"/>
  <c r="N16" i="13"/>
  <c r="H17" i="13"/>
  <c r="I17" i="13"/>
  <c r="J17" i="13"/>
  <c r="K17" i="13"/>
  <c r="L17" i="13"/>
  <c r="M17" i="13"/>
  <c r="N17" i="13"/>
  <c r="H18" i="13"/>
  <c r="I18" i="13"/>
  <c r="J18" i="13"/>
  <c r="K18" i="13"/>
  <c r="L18" i="13"/>
  <c r="M18" i="13"/>
  <c r="N18" i="13"/>
  <c r="H19" i="13"/>
  <c r="I19" i="13"/>
  <c r="J19" i="13"/>
  <c r="K19" i="13"/>
  <c r="L19" i="13"/>
  <c r="M19" i="13"/>
  <c r="N19" i="13"/>
  <c r="H20" i="13"/>
  <c r="I20" i="13"/>
  <c r="J20" i="13"/>
  <c r="K20" i="13"/>
  <c r="L20" i="13"/>
  <c r="M20" i="13"/>
  <c r="N20" i="13"/>
  <c r="H21" i="13"/>
  <c r="I21" i="13"/>
  <c r="J21" i="13"/>
  <c r="K21" i="13"/>
  <c r="L21" i="13"/>
  <c r="M21" i="13"/>
  <c r="N21" i="13"/>
  <c r="H22" i="13"/>
  <c r="I22" i="13"/>
  <c r="J22" i="13"/>
  <c r="K22" i="13"/>
  <c r="L22" i="13"/>
  <c r="M22" i="13"/>
  <c r="N22" i="13"/>
  <c r="I5" i="13"/>
  <c r="J5" i="13"/>
  <c r="K5" i="13"/>
  <c r="L5" i="13"/>
  <c r="M5" i="13"/>
  <c r="N5" i="13"/>
  <c r="L23" i="13" l="1"/>
  <c r="M23" i="13"/>
  <c r="M27" i="13" s="1"/>
  <c r="K23" i="13"/>
  <c r="J23" i="13"/>
  <c r="I23" i="13"/>
  <c r="I27" i="13" s="1"/>
  <c r="K24" i="14"/>
  <c r="K26" i="14" s="1"/>
  <c r="K26" i="13"/>
  <c r="L24" i="14"/>
  <c r="L26" i="14" s="1"/>
  <c r="L26" i="13"/>
  <c r="J24" i="14"/>
  <c r="J26" i="13"/>
  <c r="N24" i="14"/>
  <c r="N26" i="13"/>
  <c r="N23" i="13"/>
  <c r="N27" i="13" s="1"/>
  <c r="N25" i="14"/>
  <c r="M24" i="14"/>
  <c r="M26" i="14" s="1"/>
  <c r="J25" i="14"/>
  <c r="I24" i="14"/>
  <c r="I26" i="14" s="1"/>
  <c r="L27" i="13" l="1"/>
  <c r="K27" i="13"/>
  <c r="J27" i="13"/>
  <c r="J26" i="14"/>
  <c r="N26" i="14"/>
  <c r="P4" i="2"/>
  <c r="N2" i="2" l="1"/>
  <c r="N2" i="17" l="1"/>
  <c r="N2" i="12" s="1"/>
  <c r="N2" i="16"/>
  <c r="N2" i="14"/>
  <c r="N2" i="13"/>
  <c r="N2" i="6"/>
  <c r="N2" i="4"/>
  <c r="N2" i="3"/>
  <c r="K1" i="7"/>
  <c r="K1" i="8" s="1"/>
  <c r="K1" i="11" s="1"/>
  <c r="K1" i="9" s="1"/>
  <c r="K1" i="17"/>
  <c r="K1" i="16"/>
  <c r="K1" i="14"/>
  <c r="K1" i="13"/>
  <c r="K1" i="6"/>
  <c r="K1" i="4"/>
  <c r="K1" i="3"/>
  <c r="C2" i="2"/>
  <c r="C2" i="17"/>
  <c r="D24" i="13"/>
  <c r="E24" i="13"/>
  <c r="F24" i="13"/>
  <c r="G24" i="13"/>
  <c r="H24" i="13"/>
  <c r="D25" i="13"/>
  <c r="D25" i="14" s="1"/>
  <c r="E25" i="13"/>
  <c r="E25" i="14" s="1"/>
  <c r="F25" i="13"/>
  <c r="F25" i="14" s="1"/>
  <c r="G25" i="13"/>
  <c r="G25" i="14" s="1"/>
  <c r="C25" i="13"/>
  <c r="C25" i="14" s="1"/>
  <c r="C24" i="13"/>
  <c r="D5" i="13"/>
  <c r="E5" i="13"/>
  <c r="F5" i="13"/>
  <c r="G5" i="13"/>
  <c r="H5" i="13"/>
  <c r="I5" i="14"/>
  <c r="J5" i="14"/>
  <c r="K5" i="14"/>
  <c r="L5" i="14"/>
  <c r="M5" i="14"/>
  <c r="N5" i="14"/>
  <c r="D6" i="13"/>
  <c r="E6" i="13"/>
  <c r="F6" i="13"/>
  <c r="G6" i="13"/>
  <c r="G6" i="14" s="1"/>
  <c r="H6" i="14"/>
  <c r="I6" i="14"/>
  <c r="J6" i="14"/>
  <c r="K6" i="14"/>
  <c r="L6" i="14"/>
  <c r="M6" i="14"/>
  <c r="N6" i="14"/>
  <c r="D7" i="13"/>
  <c r="E7" i="13"/>
  <c r="F7" i="13"/>
  <c r="G7" i="13"/>
  <c r="G7" i="14" s="1"/>
  <c r="H7" i="14"/>
  <c r="I7" i="14"/>
  <c r="J7" i="14"/>
  <c r="K7" i="14"/>
  <c r="L7" i="14"/>
  <c r="M7" i="14"/>
  <c r="N7" i="14"/>
  <c r="D8" i="13"/>
  <c r="E8" i="13"/>
  <c r="F8" i="13"/>
  <c r="G8" i="13"/>
  <c r="G8" i="14" s="1"/>
  <c r="H8" i="14"/>
  <c r="I8" i="14"/>
  <c r="J8" i="14"/>
  <c r="K8" i="14"/>
  <c r="L8" i="14"/>
  <c r="M8" i="14"/>
  <c r="N8" i="14"/>
  <c r="D9" i="13"/>
  <c r="E9" i="13"/>
  <c r="F9" i="13"/>
  <c r="G9" i="13"/>
  <c r="G9" i="14" s="1"/>
  <c r="H9" i="14"/>
  <c r="I9" i="14"/>
  <c r="J9" i="14"/>
  <c r="K9" i="14"/>
  <c r="L9" i="14"/>
  <c r="M9" i="14"/>
  <c r="N9" i="14"/>
  <c r="D10" i="13"/>
  <c r="E10" i="13"/>
  <c r="F10" i="13"/>
  <c r="G10" i="13"/>
  <c r="G10" i="14" s="1"/>
  <c r="H10" i="14"/>
  <c r="I10" i="14"/>
  <c r="J10" i="14"/>
  <c r="K10" i="14"/>
  <c r="L10" i="14"/>
  <c r="M10" i="14"/>
  <c r="N10" i="14"/>
  <c r="D11" i="13"/>
  <c r="E11" i="13"/>
  <c r="F11" i="13"/>
  <c r="G11" i="13"/>
  <c r="G11" i="14" s="1"/>
  <c r="H11" i="14"/>
  <c r="I11" i="14"/>
  <c r="J11" i="14"/>
  <c r="K11" i="14"/>
  <c r="L11" i="14"/>
  <c r="M11" i="14"/>
  <c r="N11" i="14"/>
  <c r="D12" i="13"/>
  <c r="E12" i="13"/>
  <c r="F12" i="13"/>
  <c r="G12" i="13"/>
  <c r="G12" i="14" s="1"/>
  <c r="H12" i="14"/>
  <c r="I12" i="14"/>
  <c r="J12" i="14"/>
  <c r="K12" i="14"/>
  <c r="L12" i="14"/>
  <c r="M12" i="14"/>
  <c r="N12" i="14"/>
  <c r="D13" i="13"/>
  <c r="E13" i="13"/>
  <c r="F13" i="13"/>
  <c r="G13" i="13"/>
  <c r="G13" i="14" s="1"/>
  <c r="H13" i="14"/>
  <c r="I13" i="14"/>
  <c r="J13" i="14"/>
  <c r="K13" i="14"/>
  <c r="L13" i="14"/>
  <c r="M13" i="14"/>
  <c r="N13" i="14"/>
  <c r="D14" i="13"/>
  <c r="E14" i="13"/>
  <c r="F14" i="13"/>
  <c r="G14" i="13"/>
  <c r="G14" i="14" s="1"/>
  <c r="H14" i="14"/>
  <c r="I14" i="14"/>
  <c r="J14" i="14"/>
  <c r="K14" i="14"/>
  <c r="L14" i="14"/>
  <c r="M14" i="14"/>
  <c r="N14" i="14"/>
  <c r="D15" i="13"/>
  <c r="E15" i="13"/>
  <c r="F15" i="13"/>
  <c r="G15" i="13"/>
  <c r="G15" i="14" s="1"/>
  <c r="H15" i="14"/>
  <c r="I15" i="14"/>
  <c r="J15" i="14"/>
  <c r="K15" i="14"/>
  <c r="L15" i="14"/>
  <c r="M15" i="14"/>
  <c r="N15" i="14"/>
  <c r="D16" i="13"/>
  <c r="E16" i="13"/>
  <c r="F16" i="13"/>
  <c r="G16" i="13"/>
  <c r="G16" i="14" s="1"/>
  <c r="H16" i="14"/>
  <c r="I16" i="14"/>
  <c r="J16" i="14"/>
  <c r="K16" i="14"/>
  <c r="L16" i="14"/>
  <c r="M16" i="14"/>
  <c r="N16" i="14"/>
  <c r="D17" i="13"/>
  <c r="E17" i="13"/>
  <c r="F17" i="13"/>
  <c r="G17" i="13"/>
  <c r="G17" i="14" s="1"/>
  <c r="H17" i="14"/>
  <c r="I17" i="14"/>
  <c r="J17" i="14"/>
  <c r="K17" i="14"/>
  <c r="L17" i="14"/>
  <c r="M17" i="14"/>
  <c r="N17" i="14"/>
  <c r="D18" i="13"/>
  <c r="E18" i="13"/>
  <c r="F18" i="13"/>
  <c r="G18" i="13"/>
  <c r="G18" i="14" s="1"/>
  <c r="H18" i="14"/>
  <c r="I18" i="14"/>
  <c r="J18" i="14"/>
  <c r="K18" i="14"/>
  <c r="L18" i="14"/>
  <c r="M18" i="14"/>
  <c r="N18" i="14"/>
  <c r="D19" i="13"/>
  <c r="E19" i="13"/>
  <c r="F19" i="13"/>
  <c r="G19" i="13"/>
  <c r="G19" i="14" s="1"/>
  <c r="H19" i="14"/>
  <c r="I19" i="14"/>
  <c r="J19" i="14"/>
  <c r="K19" i="14"/>
  <c r="L19" i="14"/>
  <c r="M19" i="14"/>
  <c r="N19" i="14"/>
  <c r="D20" i="13"/>
  <c r="E20" i="13"/>
  <c r="F20" i="13"/>
  <c r="G20" i="13"/>
  <c r="G20" i="14" s="1"/>
  <c r="H20" i="14"/>
  <c r="I20" i="14"/>
  <c r="J20" i="14"/>
  <c r="K20" i="14"/>
  <c r="L20" i="14"/>
  <c r="M20" i="14"/>
  <c r="N20" i="14"/>
  <c r="D21" i="13"/>
  <c r="E21" i="13"/>
  <c r="F21" i="13"/>
  <c r="G21" i="13"/>
  <c r="G21" i="14" s="1"/>
  <c r="H21" i="14"/>
  <c r="I21" i="14"/>
  <c r="J21" i="14"/>
  <c r="K21" i="14"/>
  <c r="L21" i="14"/>
  <c r="M21" i="14"/>
  <c r="N21" i="14"/>
  <c r="D22" i="13"/>
  <c r="E22" i="13"/>
  <c r="F22" i="13"/>
  <c r="G22" i="13"/>
  <c r="G22" i="14" s="1"/>
  <c r="H22" i="14"/>
  <c r="I22" i="14"/>
  <c r="J22" i="14"/>
  <c r="K22" i="14"/>
  <c r="L22" i="14"/>
  <c r="M22" i="14"/>
  <c r="N22" i="14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5" i="13"/>
  <c r="C2" i="12"/>
  <c r="C2" i="10"/>
  <c r="O25" i="9"/>
  <c r="O24" i="9"/>
  <c r="C2" i="9"/>
  <c r="C2" i="11"/>
  <c r="C2" i="8"/>
  <c r="C2" i="7"/>
  <c r="O26" i="16"/>
  <c r="O25" i="16"/>
  <c r="O24" i="16"/>
  <c r="C2" i="16"/>
  <c r="C2" i="14"/>
  <c r="C2" i="13"/>
  <c r="C2" i="6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O24" i="5"/>
  <c r="N27" i="5"/>
  <c r="M27" i="5"/>
  <c r="L27" i="5"/>
  <c r="K27" i="5"/>
  <c r="J27" i="5"/>
  <c r="I27" i="5"/>
  <c r="H27" i="5"/>
  <c r="G27" i="5"/>
  <c r="F27" i="5"/>
  <c r="E27" i="5"/>
  <c r="D27" i="5"/>
  <c r="C27" i="5"/>
  <c r="C2" i="5"/>
  <c r="O25" i="4"/>
  <c r="O24" i="4"/>
  <c r="C2" i="4"/>
  <c r="C2" i="3"/>
  <c r="O24" i="2"/>
  <c r="O25" i="2"/>
  <c r="C23" i="13" l="1"/>
  <c r="O5" i="13"/>
  <c r="C21" i="14"/>
  <c r="O21" i="13"/>
  <c r="C19" i="14"/>
  <c r="O19" i="13"/>
  <c r="C17" i="14"/>
  <c r="O17" i="13"/>
  <c r="C15" i="14"/>
  <c r="O15" i="13"/>
  <c r="C13" i="14"/>
  <c r="O13" i="13"/>
  <c r="C11" i="14"/>
  <c r="O11" i="13"/>
  <c r="C9" i="14"/>
  <c r="O9" i="13"/>
  <c r="C7" i="14"/>
  <c r="O7" i="13"/>
  <c r="M23" i="14"/>
  <c r="M27" i="14" s="1"/>
  <c r="K23" i="14"/>
  <c r="K27" i="14" s="1"/>
  <c r="I23" i="14"/>
  <c r="I27" i="14" s="1"/>
  <c r="G5" i="14"/>
  <c r="G23" i="14" s="1"/>
  <c r="G23" i="13"/>
  <c r="E23" i="13"/>
  <c r="C24" i="14"/>
  <c r="C26" i="14" s="1"/>
  <c r="C26" i="13"/>
  <c r="H24" i="14"/>
  <c r="H26" i="14" s="1"/>
  <c r="H26" i="13"/>
  <c r="F24" i="14"/>
  <c r="F26" i="14" s="1"/>
  <c r="F26" i="13"/>
  <c r="D24" i="14"/>
  <c r="D26" i="14" s="1"/>
  <c r="D26" i="13"/>
  <c r="C22" i="14"/>
  <c r="O22" i="13"/>
  <c r="C20" i="14"/>
  <c r="O20" i="13"/>
  <c r="C18" i="14"/>
  <c r="O18" i="13"/>
  <c r="C16" i="14"/>
  <c r="O16" i="13"/>
  <c r="C14" i="14"/>
  <c r="O14" i="13"/>
  <c r="C12" i="14"/>
  <c r="O12" i="13"/>
  <c r="C10" i="14"/>
  <c r="O10" i="13"/>
  <c r="C8" i="14"/>
  <c r="O8" i="13"/>
  <c r="C6" i="14"/>
  <c r="O6" i="13"/>
  <c r="L23" i="14"/>
  <c r="L27" i="14" s="1"/>
  <c r="J23" i="14"/>
  <c r="J27" i="14" s="1"/>
  <c r="H5" i="14"/>
  <c r="H23" i="14" s="1"/>
  <c r="H23" i="13"/>
  <c r="F23" i="13"/>
  <c r="D23" i="13"/>
  <c r="D27" i="13" s="1"/>
  <c r="G24" i="14"/>
  <c r="G26" i="14" s="1"/>
  <c r="G26" i="13"/>
  <c r="E24" i="14"/>
  <c r="E26" i="14" s="1"/>
  <c r="E26" i="13"/>
  <c r="N23" i="14"/>
  <c r="N27" i="14" s="1"/>
  <c r="O25" i="14"/>
  <c r="O25" i="13"/>
  <c r="O26" i="2"/>
  <c r="P26" i="8"/>
  <c r="N5" i="16"/>
  <c r="J5" i="16"/>
  <c r="C5" i="16"/>
  <c r="M5" i="16"/>
  <c r="K5" i="16"/>
  <c r="I5" i="16"/>
  <c r="N22" i="16"/>
  <c r="L22" i="16"/>
  <c r="J22" i="16"/>
  <c r="N21" i="16"/>
  <c r="L21" i="16"/>
  <c r="J21" i="16"/>
  <c r="N20" i="16"/>
  <c r="L20" i="16"/>
  <c r="J20" i="16"/>
  <c r="N19" i="16"/>
  <c r="L19" i="16"/>
  <c r="J19" i="16"/>
  <c r="N18" i="16"/>
  <c r="L18" i="16"/>
  <c r="J18" i="16"/>
  <c r="N17" i="16"/>
  <c r="L17" i="16"/>
  <c r="J17" i="16"/>
  <c r="N16" i="16"/>
  <c r="L16" i="16"/>
  <c r="J16" i="16"/>
  <c r="N15" i="16"/>
  <c r="L15" i="16"/>
  <c r="J15" i="16"/>
  <c r="N14" i="16"/>
  <c r="L14" i="16"/>
  <c r="J14" i="16"/>
  <c r="N13" i="16"/>
  <c r="L13" i="16"/>
  <c r="J13" i="16"/>
  <c r="N12" i="16"/>
  <c r="L12" i="16"/>
  <c r="J12" i="16"/>
  <c r="N11" i="16"/>
  <c r="L11" i="16"/>
  <c r="J11" i="16"/>
  <c r="N10" i="16"/>
  <c r="L10" i="16"/>
  <c r="J10" i="16"/>
  <c r="N9" i="16"/>
  <c r="L9" i="16"/>
  <c r="J9" i="16"/>
  <c r="N8" i="16"/>
  <c r="L8" i="16"/>
  <c r="J8" i="16"/>
  <c r="N7" i="16"/>
  <c r="L7" i="16"/>
  <c r="J7" i="16"/>
  <c r="N6" i="16"/>
  <c r="L6" i="16"/>
  <c r="J6" i="16"/>
  <c r="M22" i="16"/>
  <c r="K22" i="16"/>
  <c r="I22" i="16"/>
  <c r="C22" i="16"/>
  <c r="M21" i="16"/>
  <c r="K21" i="16"/>
  <c r="I21" i="16"/>
  <c r="C21" i="16"/>
  <c r="M20" i="16"/>
  <c r="K20" i="16"/>
  <c r="I20" i="16"/>
  <c r="C20" i="16"/>
  <c r="M19" i="16"/>
  <c r="K19" i="16"/>
  <c r="I19" i="16"/>
  <c r="C19" i="16"/>
  <c r="M18" i="16"/>
  <c r="K18" i="16"/>
  <c r="I18" i="16"/>
  <c r="C18" i="16"/>
  <c r="M17" i="16"/>
  <c r="K17" i="16"/>
  <c r="I17" i="16"/>
  <c r="C17" i="16"/>
  <c r="M16" i="16"/>
  <c r="K16" i="16"/>
  <c r="I16" i="16"/>
  <c r="C16" i="16"/>
  <c r="M15" i="16"/>
  <c r="K15" i="16"/>
  <c r="I15" i="16"/>
  <c r="C15" i="16"/>
  <c r="M14" i="16"/>
  <c r="K14" i="16"/>
  <c r="I14" i="16"/>
  <c r="C14" i="16"/>
  <c r="M13" i="16"/>
  <c r="K13" i="16"/>
  <c r="I13" i="16"/>
  <c r="C13" i="16"/>
  <c r="M12" i="16"/>
  <c r="K12" i="16"/>
  <c r="I12" i="16"/>
  <c r="M11" i="16"/>
  <c r="K11" i="16"/>
  <c r="I11" i="16"/>
  <c r="C11" i="16"/>
  <c r="M10" i="16"/>
  <c r="K10" i="16"/>
  <c r="I10" i="16"/>
  <c r="C10" i="16"/>
  <c r="M9" i="16"/>
  <c r="K9" i="16"/>
  <c r="I9" i="16"/>
  <c r="C9" i="16"/>
  <c r="M8" i="16"/>
  <c r="K8" i="16"/>
  <c r="I8" i="16"/>
  <c r="C8" i="16"/>
  <c r="M7" i="16"/>
  <c r="K7" i="16"/>
  <c r="I7" i="16"/>
  <c r="C7" i="16"/>
  <c r="M6" i="16"/>
  <c r="K6" i="16"/>
  <c r="I6" i="16"/>
  <c r="C6" i="16"/>
  <c r="C12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O27" i="2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L5" i="16"/>
  <c r="O16" i="17"/>
  <c r="O26" i="4"/>
  <c r="F22" i="14"/>
  <c r="F22" i="16"/>
  <c r="F21" i="14"/>
  <c r="F21" i="16"/>
  <c r="F20" i="14"/>
  <c r="F20" i="16"/>
  <c r="F19" i="14"/>
  <c r="F19" i="16"/>
  <c r="F18" i="14"/>
  <c r="F18" i="16"/>
  <c r="F17" i="14"/>
  <c r="F17" i="16"/>
  <c r="F16" i="14"/>
  <c r="F16" i="16"/>
  <c r="F15" i="14"/>
  <c r="F15" i="16"/>
  <c r="F14" i="14"/>
  <c r="F14" i="16"/>
  <c r="F13" i="14"/>
  <c r="F13" i="16"/>
  <c r="F12" i="14"/>
  <c r="F12" i="16"/>
  <c r="F11" i="14"/>
  <c r="F11" i="16"/>
  <c r="F10" i="14"/>
  <c r="F10" i="16"/>
  <c r="F9" i="14"/>
  <c r="F9" i="16"/>
  <c r="F8" i="14"/>
  <c r="F8" i="16"/>
  <c r="F7" i="14"/>
  <c r="F7" i="16"/>
  <c r="F6" i="14"/>
  <c r="F6" i="16"/>
  <c r="F5" i="14"/>
  <c r="F5" i="16"/>
  <c r="E22" i="14"/>
  <c r="E22" i="16"/>
  <c r="E21" i="14"/>
  <c r="E21" i="16"/>
  <c r="E20" i="14"/>
  <c r="E20" i="16"/>
  <c r="E19" i="14"/>
  <c r="E19" i="16"/>
  <c r="E18" i="14"/>
  <c r="E18" i="16"/>
  <c r="E17" i="14"/>
  <c r="E17" i="16"/>
  <c r="E16" i="14"/>
  <c r="E16" i="16"/>
  <c r="E15" i="14"/>
  <c r="E15" i="16"/>
  <c r="E14" i="14"/>
  <c r="E14" i="16"/>
  <c r="E13" i="14"/>
  <c r="E13" i="16"/>
  <c r="E12" i="14"/>
  <c r="E12" i="16"/>
  <c r="E11" i="14"/>
  <c r="E11" i="16"/>
  <c r="E10" i="14"/>
  <c r="E10" i="16"/>
  <c r="E9" i="14"/>
  <c r="E9" i="16"/>
  <c r="E8" i="14"/>
  <c r="E8" i="16"/>
  <c r="E7" i="14"/>
  <c r="E7" i="16"/>
  <c r="E6" i="14"/>
  <c r="E6" i="16"/>
  <c r="E5" i="14"/>
  <c r="E5" i="16"/>
  <c r="D22" i="14"/>
  <c r="D22" i="16"/>
  <c r="D21" i="14"/>
  <c r="D21" i="16"/>
  <c r="D20" i="14"/>
  <c r="D20" i="16"/>
  <c r="D19" i="14"/>
  <c r="D19" i="16"/>
  <c r="D18" i="14"/>
  <c r="D18" i="16"/>
  <c r="D17" i="14"/>
  <c r="D17" i="16"/>
  <c r="D16" i="14"/>
  <c r="D16" i="16"/>
  <c r="D15" i="14"/>
  <c r="D15" i="16"/>
  <c r="D14" i="14"/>
  <c r="D14" i="16"/>
  <c r="D13" i="14"/>
  <c r="D13" i="16"/>
  <c r="D12" i="14"/>
  <c r="D12" i="16"/>
  <c r="D11" i="14"/>
  <c r="D11" i="16"/>
  <c r="D10" i="14"/>
  <c r="D10" i="16"/>
  <c r="D9" i="14"/>
  <c r="D9" i="16"/>
  <c r="D8" i="14"/>
  <c r="D8" i="16"/>
  <c r="D7" i="14"/>
  <c r="D7" i="16"/>
  <c r="D6" i="14"/>
  <c r="D6" i="16"/>
  <c r="D5" i="14"/>
  <c r="D5" i="16"/>
  <c r="O20" i="17"/>
  <c r="O12" i="17"/>
  <c r="N2" i="7"/>
  <c r="N2" i="11"/>
  <c r="N2" i="10"/>
  <c r="N2" i="8"/>
  <c r="N2" i="9"/>
  <c r="O26" i="5"/>
  <c r="O26" i="9"/>
  <c r="K1" i="10"/>
  <c r="K1" i="12"/>
  <c r="O22" i="17"/>
  <c r="O21" i="17"/>
  <c r="O19" i="17"/>
  <c r="O18" i="17"/>
  <c r="O17" i="17"/>
  <c r="O15" i="17"/>
  <c r="O14" i="17"/>
  <c r="O13" i="17"/>
  <c r="O9" i="17"/>
  <c r="O11" i="17"/>
  <c r="O10" i="17"/>
  <c r="O8" i="17"/>
  <c r="O7" i="17"/>
  <c r="C5" i="14"/>
  <c r="O24" i="17"/>
  <c r="O25" i="17"/>
  <c r="O6" i="17"/>
  <c r="O5" i="17"/>
  <c r="O26" i="13"/>
  <c r="O24" i="13"/>
  <c r="O27" i="9"/>
  <c r="O23" i="9"/>
  <c r="P23" i="11"/>
  <c r="O27" i="5"/>
  <c r="O23" i="4"/>
  <c r="P5" i="4" s="1"/>
  <c r="P12" i="3"/>
  <c r="P21" i="3"/>
  <c r="P19" i="3"/>
  <c r="P24" i="3"/>
  <c r="P23" i="3"/>
  <c r="L23" i="16" l="1"/>
  <c r="L27" i="16" s="1"/>
  <c r="P23" i="6"/>
  <c r="H27" i="13"/>
  <c r="H27" i="14"/>
  <c r="H23" i="16"/>
  <c r="H27" i="16" s="1"/>
  <c r="O26" i="14"/>
  <c r="O17" i="14"/>
  <c r="F27" i="13"/>
  <c r="F23" i="16"/>
  <c r="F27" i="16" s="1"/>
  <c r="F23" i="14"/>
  <c r="F27" i="14" s="1"/>
  <c r="O21" i="14"/>
  <c r="O15" i="14"/>
  <c r="O13" i="14"/>
  <c r="O9" i="14"/>
  <c r="O11" i="14"/>
  <c r="O7" i="14"/>
  <c r="E23" i="14"/>
  <c r="E27" i="14" s="1"/>
  <c r="E23" i="16"/>
  <c r="E27" i="16" s="1"/>
  <c r="D23" i="14"/>
  <c r="D27" i="14" s="1"/>
  <c r="D23" i="16"/>
  <c r="D27" i="16" s="1"/>
  <c r="C23" i="14"/>
  <c r="C27" i="14" s="1"/>
  <c r="O19" i="14"/>
  <c r="O24" i="14"/>
  <c r="O6" i="14"/>
  <c r="O8" i="14"/>
  <c r="O10" i="14"/>
  <c r="O12" i="14"/>
  <c r="O14" i="14"/>
  <c r="O16" i="14"/>
  <c r="O18" i="14"/>
  <c r="O20" i="14"/>
  <c r="O22" i="14"/>
  <c r="G23" i="16"/>
  <c r="G27" i="16" s="1"/>
  <c r="O7" i="16"/>
  <c r="O9" i="16"/>
  <c r="O11" i="16"/>
  <c r="O13" i="16"/>
  <c r="O15" i="16"/>
  <c r="O17" i="16"/>
  <c r="O19" i="16"/>
  <c r="O21" i="16"/>
  <c r="I23" i="16"/>
  <c r="I27" i="16" s="1"/>
  <c r="M23" i="16"/>
  <c r="M27" i="16" s="1"/>
  <c r="J23" i="16"/>
  <c r="J27" i="16" s="1"/>
  <c r="G27" i="13"/>
  <c r="O6" i="16"/>
  <c r="O8" i="16"/>
  <c r="O10" i="16"/>
  <c r="O12" i="16"/>
  <c r="O14" i="16"/>
  <c r="O16" i="16"/>
  <c r="O18" i="16"/>
  <c r="O20" i="16"/>
  <c r="O22" i="16"/>
  <c r="K23" i="16"/>
  <c r="K27" i="16" s="1"/>
  <c r="C23" i="16"/>
  <c r="C27" i="16" s="1"/>
  <c r="O5" i="14"/>
  <c r="E27" i="13"/>
  <c r="G27" i="14"/>
  <c r="C27" i="13"/>
  <c r="N23" i="16"/>
  <c r="N27" i="16" s="1"/>
  <c r="O5" i="16"/>
  <c r="P26" i="4"/>
  <c r="P26" i="12"/>
  <c r="P14" i="3"/>
  <c r="P6" i="3"/>
  <c r="P26" i="5"/>
  <c r="P27" i="3"/>
  <c r="P22" i="3"/>
  <c r="P7" i="3"/>
  <c r="P13" i="3"/>
  <c r="P20" i="3"/>
  <c r="P5" i="3"/>
  <c r="P25" i="6"/>
  <c r="P13" i="6"/>
  <c r="P18" i="6"/>
  <c r="P27" i="6"/>
  <c r="P9" i="6"/>
  <c r="P14" i="6"/>
  <c r="P20" i="6"/>
  <c r="P26" i="6"/>
  <c r="P10" i="6"/>
  <c r="P24" i="6"/>
  <c r="P8" i="6"/>
  <c r="P26" i="9"/>
  <c r="O26" i="17"/>
  <c r="P9" i="11"/>
  <c r="P24" i="11"/>
  <c r="P6" i="11"/>
  <c r="P14" i="11"/>
  <c r="P21" i="11"/>
  <c r="P5" i="11"/>
  <c r="O23" i="17"/>
  <c r="P24" i="17" s="1"/>
  <c r="P27" i="11"/>
  <c r="P11" i="11"/>
  <c r="P19" i="11"/>
  <c r="P17" i="11"/>
  <c r="P25" i="11"/>
  <c r="P15" i="11"/>
  <c r="O23" i="13"/>
  <c r="P26" i="13" s="1"/>
  <c r="P25" i="12"/>
  <c r="P23" i="12"/>
  <c r="P21" i="12"/>
  <c r="P19" i="12"/>
  <c r="P17" i="12"/>
  <c r="P15" i="12"/>
  <c r="P13" i="12"/>
  <c r="P10" i="12"/>
  <c r="P8" i="12"/>
  <c r="P6" i="12"/>
  <c r="P24" i="12"/>
  <c r="P22" i="12"/>
  <c r="P20" i="12"/>
  <c r="P18" i="12"/>
  <c r="P16" i="12"/>
  <c r="P14" i="12"/>
  <c r="P12" i="12"/>
  <c r="P11" i="12"/>
  <c r="P9" i="12"/>
  <c r="P7" i="12"/>
  <c r="P5" i="12"/>
  <c r="P27" i="12"/>
  <c r="P25" i="10"/>
  <c r="P23" i="10"/>
  <c r="P21" i="10"/>
  <c r="P19" i="10"/>
  <c r="P17" i="10"/>
  <c r="P15" i="10"/>
  <c r="P13" i="10"/>
  <c r="P10" i="10"/>
  <c r="P8" i="10"/>
  <c r="P6" i="10"/>
  <c r="P24" i="10"/>
  <c r="P22" i="10"/>
  <c r="P20" i="10"/>
  <c r="P18" i="10"/>
  <c r="P16" i="10"/>
  <c r="P14" i="10"/>
  <c r="P12" i="10"/>
  <c r="P11" i="10"/>
  <c r="P9" i="10"/>
  <c r="P7" i="10"/>
  <c r="P5" i="10"/>
  <c r="P27" i="10"/>
  <c r="P26" i="10"/>
  <c r="P25" i="9"/>
  <c r="P23" i="9"/>
  <c r="P21" i="9"/>
  <c r="P19" i="9"/>
  <c r="P17" i="9"/>
  <c r="P15" i="9"/>
  <c r="P13" i="9"/>
  <c r="P10" i="9"/>
  <c r="P8" i="9"/>
  <c r="P6" i="9"/>
  <c r="P24" i="9"/>
  <c r="P22" i="9"/>
  <c r="P20" i="9"/>
  <c r="P18" i="9"/>
  <c r="P16" i="9"/>
  <c r="P14" i="9"/>
  <c r="P12" i="9"/>
  <c r="P11" i="9"/>
  <c r="P9" i="9"/>
  <c r="P7" i="9"/>
  <c r="P5" i="9"/>
  <c r="P27" i="9"/>
  <c r="P22" i="11"/>
  <c r="P7" i="11"/>
  <c r="P8" i="11"/>
  <c r="P13" i="11"/>
  <c r="P20" i="11"/>
  <c r="P18" i="11"/>
  <c r="P16" i="11"/>
  <c r="P26" i="11"/>
  <c r="P10" i="11"/>
  <c r="P12" i="11"/>
  <c r="P25" i="8"/>
  <c r="P23" i="8"/>
  <c r="P21" i="8"/>
  <c r="P19" i="8"/>
  <c r="P17" i="8"/>
  <c r="P15" i="8"/>
  <c r="P13" i="8"/>
  <c r="P10" i="8"/>
  <c r="P8" i="8"/>
  <c r="P6" i="8"/>
  <c r="P24" i="8"/>
  <c r="P22" i="8"/>
  <c r="P20" i="8"/>
  <c r="P18" i="8"/>
  <c r="P16" i="8"/>
  <c r="P14" i="8"/>
  <c r="P12" i="8"/>
  <c r="P11" i="8"/>
  <c r="P9" i="8"/>
  <c r="P7" i="8"/>
  <c r="P5" i="8"/>
  <c r="P27" i="8"/>
  <c r="P25" i="7"/>
  <c r="P23" i="7"/>
  <c r="P21" i="7"/>
  <c r="P19" i="7"/>
  <c r="P17" i="7"/>
  <c r="P15" i="7"/>
  <c r="P13" i="7"/>
  <c r="P10" i="7"/>
  <c r="P8" i="7"/>
  <c r="P6" i="7"/>
  <c r="P24" i="7"/>
  <c r="P22" i="7"/>
  <c r="P20" i="7"/>
  <c r="P18" i="7"/>
  <c r="P16" i="7"/>
  <c r="P14" i="7"/>
  <c r="P12" i="7"/>
  <c r="P11" i="7"/>
  <c r="P9" i="7"/>
  <c r="P7" i="7"/>
  <c r="P5" i="7"/>
  <c r="P27" i="7"/>
  <c r="P26" i="7"/>
  <c r="P11" i="6"/>
  <c r="P12" i="6"/>
  <c r="P21" i="6"/>
  <c r="P6" i="6"/>
  <c r="P19" i="6"/>
  <c r="P22" i="6"/>
  <c r="P7" i="6"/>
  <c r="P5" i="6"/>
  <c r="P17" i="6"/>
  <c r="P16" i="6"/>
  <c r="P15" i="6"/>
  <c r="P23" i="5"/>
  <c r="P17" i="5"/>
  <c r="P13" i="5"/>
  <c r="P10" i="5"/>
  <c r="P8" i="5"/>
  <c r="P18" i="5"/>
  <c r="P12" i="5"/>
  <c r="P9" i="5"/>
  <c r="P5" i="5"/>
  <c r="P24" i="5"/>
  <c r="P22" i="5"/>
  <c r="P20" i="5"/>
  <c r="P16" i="5"/>
  <c r="P14" i="5"/>
  <c r="P11" i="5"/>
  <c r="P7" i="5"/>
  <c r="P25" i="5"/>
  <c r="P21" i="5"/>
  <c r="P19" i="5"/>
  <c r="P15" i="5"/>
  <c r="P6" i="5"/>
  <c r="P27" i="5"/>
  <c r="P25" i="4"/>
  <c r="P23" i="4"/>
  <c r="P17" i="4"/>
  <c r="P8" i="4"/>
  <c r="P20" i="4"/>
  <c r="P14" i="4"/>
  <c r="P11" i="4"/>
  <c r="P9" i="4"/>
  <c r="P24" i="4"/>
  <c r="P22" i="4"/>
  <c r="P18" i="4"/>
  <c r="P16" i="4"/>
  <c r="P12" i="4"/>
  <c r="P7" i="4"/>
  <c r="P21" i="4"/>
  <c r="P19" i="4"/>
  <c r="P15" i="4"/>
  <c r="P13" i="4"/>
  <c r="P10" i="4"/>
  <c r="P6" i="4"/>
  <c r="P27" i="4"/>
  <c r="P15" i="3"/>
  <c r="P18" i="3"/>
  <c r="P26" i="3"/>
  <c r="P10" i="3"/>
  <c r="P16" i="3"/>
  <c r="P8" i="3"/>
  <c r="P11" i="3"/>
  <c r="P17" i="3"/>
  <c r="P25" i="3"/>
  <c r="P9" i="3"/>
  <c r="O27" i="13" l="1"/>
  <c r="D6" i="1" s="1"/>
  <c r="O23" i="16"/>
  <c r="O23" i="14"/>
  <c r="P26" i="14" s="1"/>
  <c r="O27" i="16"/>
  <c r="O27" i="17"/>
  <c r="D8" i="1" s="1"/>
  <c r="O27" i="14"/>
  <c r="D7" i="1" s="1"/>
  <c r="P8" i="17"/>
  <c r="P9" i="17"/>
  <c r="P15" i="17"/>
  <c r="P25" i="17"/>
  <c r="P16" i="17"/>
  <c r="P26" i="17"/>
  <c r="P17" i="17"/>
  <c r="P5" i="17"/>
  <c r="P12" i="17"/>
  <c r="P20" i="17"/>
  <c r="P6" i="17"/>
  <c r="P10" i="17"/>
  <c r="P19" i="17"/>
  <c r="P13" i="17"/>
  <c r="P21" i="17"/>
  <c r="P7" i="17"/>
  <c r="P11" i="17"/>
  <c r="P14" i="17"/>
  <c r="P18" i="17"/>
  <c r="P22" i="17"/>
  <c r="P23" i="17"/>
  <c r="P10" i="13"/>
  <c r="P14" i="13"/>
  <c r="P12" i="13"/>
  <c r="P6" i="13"/>
  <c r="P21" i="13"/>
  <c r="P20" i="13"/>
  <c r="P17" i="13"/>
  <c r="P7" i="13"/>
  <c r="P22" i="13"/>
  <c r="P19" i="13"/>
  <c r="P8" i="13"/>
  <c r="P9" i="13"/>
  <c r="P16" i="13"/>
  <c r="P24" i="13"/>
  <c r="P23" i="13"/>
  <c r="P13" i="13"/>
  <c r="P11" i="13"/>
  <c r="P18" i="13"/>
  <c r="P5" i="13"/>
  <c r="P15" i="13"/>
  <c r="P25" i="13"/>
  <c r="P27" i="13" l="1"/>
  <c r="P27" i="17"/>
  <c r="D9" i="1"/>
  <c r="P24" i="14"/>
  <c r="P8" i="14"/>
  <c r="P5" i="14"/>
  <c r="P23" i="14"/>
  <c r="P11" i="14"/>
  <c r="P13" i="14"/>
  <c r="P18" i="14"/>
  <c r="P6" i="14"/>
  <c r="P9" i="14"/>
  <c r="P20" i="14"/>
  <c r="P17" i="14"/>
  <c r="P10" i="14"/>
  <c r="P22" i="14"/>
  <c r="P14" i="14"/>
  <c r="P7" i="14"/>
  <c r="P21" i="14"/>
  <c r="P16" i="14"/>
  <c r="P27" i="14"/>
  <c r="P15" i="14"/>
  <c r="P19" i="14"/>
  <c r="P12" i="14"/>
  <c r="P25" i="14"/>
  <c r="P27" i="16"/>
  <c r="P26" i="16"/>
  <c r="P6" i="16"/>
  <c r="P25" i="16"/>
  <c r="P21" i="16"/>
  <c r="P17" i="16"/>
  <c r="P13" i="16"/>
  <c r="P8" i="16"/>
  <c r="P24" i="16"/>
  <c r="P20" i="16"/>
  <c r="P16" i="16"/>
  <c r="P12" i="16"/>
  <c r="P9" i="16"/>
  <c r="P5" i="16"/>
  <c r="P23" i="16"/>
  <c r="P19" i="16"/>
  <c r="P15" i="16"/>
  <c r="P10" i="16"/>
  <c r="P22" i="16"/>
  <c r="P18" i="16"/>
  <c r="P14" i="16"/>
  <c r="P11" i="16"/>
  <c r="P7" i="16"/>
  <c r="P23" i="2"/>
  <c r="P10" i="2" l="1"/>
  <c r="P24" i="2"/>
  <c r="P15" i="2"/>
  <c r="P5" i="2"/>
  <c r="P27" i="2"/>
  <c r="P21" i="2"/>
  <c r="P8" i="2"/>
  <c r="P19" i="2"/>
  <c r="P22" i="2"/>
  <c r="P13" i="2"/>
  <c r="P25" i="2"/>
  <c r="P18" i="2"/>
  <c r="P20" i="2"/>
  <c r="P26" i="2"/>
  <c r="P9" i="2"/>
  <c r="P14" i="2"/>
  <c r="P7" i="2"/>
  <c r="P11" i="2"/>
  <c r="P17" i="2"/>
  <c r="P12" i="2"/>
  <c r="P6" i="2"/>
  <c r="P16" i="2"/>
</calcChain>
</file>

<file path=xl/sharedStrings.xml><?xml version="1.0" encoding="utf-8"?>
<sst xmlns="http://schemas.openxmlformats.org/spreadsheetml/2006/main" count="734" uniqueCount="87">
  <si>
    <t>ที่</t>
  </si>
  <si>
    <t>หน่วยงาน</t>
  </si>
  <si>
    <t>ทองอินทริ์</t>
  </si>
  <si>
    <t>ท่าลี่</t>
  </si>
  <si>
    <t>ผาสุก</t>
  </si>
  <si>
    <t>เมืองพรึก(แชแล)</t>
  </si>
  <si>
    <t>เวียงคำ</t>
  </si>
  <si>
    <t>สีออ(ศรีสว่างพัฒนา)</t>
  </si>
  <si>
    <t>เสอเพลอ(สงเปลือย)</t>
  </si>
  <si>
    <t>หินฮาว</t>
  </si>
  <si>
    <t>เหล่าสีเสียด</t>
  </si>
  <si>
    <t>เหล่าหมากจันทร์</t>
  </si>
  <si>
    <t>บุ่งหมากลาน</t>
  </si>
  <si>
    <t>ปะโค</t>
  </si>
  <si>
    <t>หนองหว้า(ห้วยบง)</t>
  </si>
  <si>
    <t>ห้วยเกิ้ง</t>
  </si>
  <si>
    <t>รพ.ห้วยเกิ้ง</t>
  </si>
  <si>
    <t>รพ.ประจักษ์ศิลปาคม</t>
  </si>
  <si>
    <t>PCC   พันดอน</t>
  </si>
  <si>
    <t>PCC  เชียงแหว</t>
  </si>
  <si>
    <t>PCC บ้านผือ</t>
  </si>
  <si>
    <t>PCC  กุมภวาปี</t>
  </si>
  <si>
    <t>รวมรพสต. Cup กุมภวาปี</t>
  </si>
  <si>
    <t>รวมรพ. เครือข่าย</t>
  </si>
  <si>
    <t>20+21</t>
  </si>
  <si>
    <t>รวมเบิกทั้ง หมด</t>
  </si>
  <si>
    <t>1-21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</si>
  <si>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</si>
  <si>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</si>
  <si>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</si>
  <si>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</si>
  <si>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</si>
  <si>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</si>
  <si>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</si>
  <si>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</si>
  <si>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</si>
  <si>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</si>
  <si>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</si>
  <si>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</si>
  <si>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เบิกแล้ว</t>
  </si>
  <si>
    <t>ยอดเบิกเทียบกับการเบิกทั้งหมดของอำเภอ(%)</t>
  </si>
  <si>
    <t xml:space="preserve">รายงานเบิก  ยาทั่วไป  ของหน่วยงานต่างๆในCUPกุมภวาปี </t>
  </si>
  <si>
    <t xml:space="preserve">รายงานเบิก  ยาทั้งหมด  รวมวัคซีน  ของหน่วยงานต่างๆในCUPกุมภวาปี </t>
  </si>
  <si>
    <t xml:space="preserve">รายงานเบิก  ยาทั้งหมด   ( ไม่รวมวัคซีน ) ของหน่วยงานต่างๆในCUPกุมภวาปี </t>
  </si>
  <si>
    <t xml:space="preserve">รายงานเบิก  ยาทั้งหมด  (ไม่รวมวัคซีน) +วชยทุกประเภท ของหน่วยงานต่างๆในCUPกุมภวาปี </t>
  </si>
  <si>
    <t xml:space="preserve">รายงานเบิก  วชย ทุกประเภท( วสด.การแพทย์ + สนง +งานบ้าน+ dent+ LAB +เภสัช)  ของหน่วยงานต่างๆในCUPกุมภวาปี </t>
  </si>
  <si>
    <t>ข้อมูลรายงาน ประจำเดือน</t>
  </si>
  <si>
    <t xml:space="preserve">สรุปมูลค่าการเบิก     ยา+วชย. ของหน่วยงานต่างๆ cup  กุมภวาปี  </t>
  </si>
  <si>
    <t>.............................</t>
  </si>
  <si>
    <t>………………………………</t>
  </si>
  <si>
    <t xml:space="preserve"> (นางสาววิภาดา แสนศิลา)</t>
  </si>
  <si>
    <t xml:space="preserve">  (ภญ.พรพรหม ศรีวงศา )</t>
  </si>
  <si>
    <t xml:space="preserve">     ผู้จัดทำ</t>
  </si>
  <si>
    <t>เภสัชกรชำนาญการ</t>
  </si>
  <si>
    <t>19+20</t>
  </si>
  <si>
    <t>ปีงบประมาน 2561</t>
  </si>
  <si>
    <t xml:space="preserve">รายงานเบิก  วัสดุการแพทย์  ของหน่วยงานต่างๆในCUPกุมภวาปี </t>
  </si>
  <si>
    <t xml:space="preserve">รายงานเบิก  วัสดุสำนักงาน  ของหน่วยงานต่างๆในCUPกุมภวาปี </t>
  </si>
  <si>
    <t xml:space="preserve">รายงานเบิก  วัสดุงานบ้าน  ของหน่วยงานต่างๆในCUPกุมภวาปี </t>
  </si>
  <si>
    <t xml:space="preserve">รายงานเบิก  วัสดุแลป  ของหน่วยงานต่างๆในCUPกุมภวาปี </t>
  </si>
  <si>
    <t xml:space="preserve">รายงานเบิก  วัสดุทันตกรรม  ของหน่วยงานต่างๆในCUPกุมภวาปี </t>
  </si>
  <si>
    <t xml:space="preserve">รายงานเบิก  วัสดุเภสัช  ของหน่วยงานต่างๆในCUPกุมภวาปี </t>
  </si>
  <si>
    <t xml:space="preserve">รายงานเบิก  ยาแพทย์ PCC  ของหน่วยงานต่างๆในCUPกุมภวาปี </t>
  </si>
  <si>
    <t xml:space="preserve">รายงานเบิก  ยาโรคเรื้อรังฟรี  ของหน่วยงานต่างๆในCUPกุมภวาปี </t>
  </si>
  <si>
    <t xml:space="preserve">รายงานเบิก วัคซีน ของหน่วยงานต่างๆในCUPกุมภวาปี </t>
  </si>
  <si>
    <t xml:space="preserve">  1:18</t>
  </si>
  <si>
    <t>1-20</t>
  </si>
  <si>
    <t xml:space="preserve"> 1:18</t>
  </si>
  <si>
    <t xml:space="preserve"> 1:20</t>
  </si>
  <si>
    <t>19 +20</t>
  </si>
  <si>
    <t>...........................................................</t>
  </si>
  <si>
    <t>..................................................</t>
  </si>
  <si>
    <t>.........................................................</t>
  </si>
  <si>
    <t>มูลค่าเบิกยาทั้งหมด....ไม่รวมวัคซีน</t>
  </si>
  <si>
    <t>มูลค่าเบิกยาทั้งหมด.....รวมวัคซีน</t>
  </si>
  <si>
    <t>***หน้านี้รายงานเป็นข้อมูลรวม  ตั้งแต่ต้นปีงบประมาณ..จนถึง..เดือนที่รายงาน***</t>
  </si>
  <si>
    <t>จากคลังยา    กลุ่มงานเภสัชกรรม     โรงพยาบาลกุมภวาปี</t>
  </si>
  <si>
    <t>รวมเบิกทุกประเภท(2+3)</t>
  </si>
  <si>
    <t>มูลค่าเบิก วชย.ทั้งหมด                                                          (วสด.การแพทย์+สนง+งานบ้าน + Dent+ LAB +เภสัช )</t>
  </si>
  <si>
    <t>................................................</t>
  </si>
  <si>
    <t>โรงพยาบาลห้วยเกิ้ง</t>
  </si>
  <si>
    <t>เหล่าสีเสียด(ตูมใต้)</t>
  </si>
  <si>
    <t>.</t>
  </si>
  <si>
    <t xml:space="preserve">รายงานเบิก เรื้องรัง 20%  ของหน่วยงานต่างๆในCUPกุมภวาปี </t>
  </si>
  <si>
    <t>งานควบคุมโรค</t>
  </si>
  <si>
    <t xml:space="preserve"> ปีงบประมาณ   2563</t>
  </si>
  <si>
    <t>รายงานข้อมูลณ วันที่ 28/12/63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</si>
</sst>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[$-107041E]d\ mmm\ yy;@"/>
    <numFmt numFmtId="188" formatCode="_-* #,##0_-;\-* #,##0_-;_-* &quot;-&quot;??_-;_-@_-"/>
    <numFmt numFmtId="189" formatCode="#,##0.00_ ;\-#,##0.00&quot; &quot;"/>
    <numFmt numFmtId="190" formatCode="#,##0.0"/>
    <numFmt numFmtId="191" formatCode="#,##0.000_ ;\-#,##0.000&quot; &quot;"/>
    <numFmt numFmtId="192" formatCode="#,##0.0000"/>
  </numFmts>
  <fonts count="38" x14ac:knownFonts="1">
    <font>
      <sz val="11"/>
      <color theme="1"/>
      <name val="Tahoma"/>
      <family val="2"/>
      <charset val="222"/>
      <scheme val="minor"/>
    </font>
    <font>
      <sz val="16"/>
      <name val="AngsanaUPC"/>
      <family val="1"/>
      <charset val="222"/>
    </font>
    <font>
      <b/>
      <sz val="16"/>
      <name val="AngsanaUPC"/>
      <family val="1"/>
    </font>
    <font>
      <sz val="16"/>
      <color theme="1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b/>
      <sz val="16"/>
      <color theme="1"/>
      <name val="AngsanaUPC"/>
      <family val="1"/>
    </font>
    <font>
      <b/>
      <sz val="18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b/>
      <sz val="14"/>
      <name val="AngsanaUPC"/>
      <family val="1"/>
    </font>
    <font>
      <sz val="11"/>
      <color theme="1"/>
      <name val="Tahoma"/>
      <family val="2"/>
      <charset val="222"/>
      <scheme val="minor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14"/>
      <color indexed="10"/>
      <name val="AngsanaUPC"/>
      <family val="1"/>
    </font>
    <font>
      <b/>
      <sz val="16"/>
      <color rgb="FF0070C0"/>
      <name val="AngsanaUPC"/>
      <family val="1"/>
    </font>
    <font>
      <b/>
      <sz val="16"/>
      <color rgb="FFFF0000"/>
      <name val="AngsanaUPC"/>
      <family val="1"/>
    </font>
    <font>
      <b/>
      <sz val="14"/>
      <color rgb="FF0000FF"/>
      <name val="AngsanaUPC"/>
      <family val="1"/>
    </font>
    <font>
      <sz val="16"/>
      <color indexed="12"/>
      <name val="AngsanaUPC"/>
      <family val="1"/>
    </font>
    <font>
      <b/>
      <sz val="14"/>
      <color indexed="17"/>
      <name val="AngsanaUPC"/>
      <family val="1"/>
    </font>
    <font>
      <b/>
      <sz val="18"/>
      <color rgb="FF006600"/>
      <name val="AngsanaUPC"/>
      <family val="1"/>
    </font>
    <font>
      <b/>
      <sz val="18"/>
      <color rgb="FF0000FF"/>
      <name val="AngsanaUPC"/>
      <family val="1"/>
    </font>
    <font>
      <b/>
      <sz val="16"/>
      <color rgb="FF0000FF"/>
      <name val="AngsanaUPC"/>
      <family val="1"/>
    </font>
    <font>
      <b/>
      <sz val="20"/>
      <color theme="1"/>
      <name val="AngsanaUPC"/>
      <family val="1"/>
    </font>
    <font>
      <sz val="14"/>
      <color rgb="FF0000FF"/>
      <name val="AngsanaUPC"/>
      <family val="1"/>
    </font>
    <font>
      <b/>
      <sz val="20"/>
      <name val="AngsanaUPC"/>
      <family val="1"/>
    </font>
    <font>
      <b/>
      <sz val="20"/>
      <color rgb="FFFF0000"/>
      <name val="AngsanaUPC"/>
      <family val="1"/>
    </font>
    <font>
      <b/>
      <sz val="20"/>
      <color rgb="FF0000FF"/>
      <name val="AngsanaUPC"/>
      <family val="1"/>
    </font>
    <font>
      <b/>
      <sz val="22"/>
      <color rgb="FF0000FF"/>
      <name val="AngsanaUPC"/>
      <family val="1"/>
    </font>
    <font>
      <b/>
      <u val="double"/>
      <sz val="20"/>
      <name val="AngsanaUPC"/>
      <family val="1"/>
    </font>
    <font>
      <b/>
      <sz val="18"/>
      <color rgb="FFFF0000"/>
      <name val="AngsanaUPC"/>
      <family val="1"/>
    </font>
    <font>
      <b/>
      <sz val="18"/>
      <color rgb="FFC00000"/>
      <name val="AngsanaUPC"/>
      <family val="1"/>
    </font>
    <font>
      <b/>
      <sz val="14"/>
      <color rgb="FFFF0000"/>
      <name val="AngsanaUPC"/>
      <family val="1"/>
    </font>
    <font>
      <sz val="14"/>
      <color rgb="FFFF0000"/>
      <name val="AngsanaUPC"/>
      <family val="1"/>
    </font>
    <font>
      <b/>
      <sz val="10"/>
      <color rgb="FFFF0000"/>
      <name val="AngsanaUPC"/>
      <family val="1"/>
    </font>
    <font>
      <sz val="16"/>
      <color rgb="FFFF0000"/>
      <name val="AngsanaUPC"/>
      <family val="1"/>
    </font>
    <font>
      <sz val="12"/>
      <color rgb="FFFF0000"/>
      <name val="AngsanaUPC"/>
      <family val="1"/>
    </font>
    <font>
      <b/>
      <sz val="11"/>
      <color rgb="FFFF0000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66">
    <xf numFmtId="0" fontId="0" fillId="0" borderId="0" xfId="0"/>
    <xf numFmtId="0" fontId="3" fillId="0" borderId="0" xfId="0" applyFont="1"/>
    <xf numFmtId="4" fontId="4" fillId="0" borderId="0" xfId="1" applyNumberFormat="1" applyFont="1" applyAlignment="1" applyProtection="1">
      <alignment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" fontId="5" fillId="0" borderId="0" xfId="1" applyNumberFormat="1" applyFont="1" applyAlignment="1" applyProtection="1">
      <alignment vertical="center"/>
      <protection locked="0"/>
    </xf>
    <xf numFmtId="0" fontId="8" fillId="0" borderId="1" xfId="1" applyNumberFormat="1" applyFont="1" applyFill="1" applyBorder="1" applyAlignment="1" applyProtection="1">
      <alignment horizontal="center" vertical="center" shrinkToFit="1"/>
    </xf>
    <xf numFmtId="0" fontId="9" fillId="0" borderId="1" xfId="1" applyNumberFormat="1" applyFont="1" applyFill="1" applyBorder="1" applyAlignment="1" applyProtection="1">
      <alignment horizontal="center" vertical="center" shrinkToFit="1"/>
    </xf>
    <xf numFmtId="4" fontId="4" fillId="0" borderId="0" xfId="1" applyNumberFormat="1" applyFont="1" applyAlignment="1" applyProtection="1">
      <alignment horizontal="left" vertical="center"/>
      <protection locked="0"/>
    </xf>
    <xf numFmtId="4" fontId="5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left" vertical="center"/>
      <protection locked="0"/>
    </xf>
    <xf numFmtId="4" fontId="10" fillId="0" borderId="0" xfId="1" applyNumberFormat="1" applyFont="1" applyAlignment="1" applyProtection="1">
      <alignment vertical="center"/>
      <protection locked="0"/>
    </xf>
    <xf numFmtId="4" fontId="10" fillId="0" borderId="0" xfId="1" applyNumberFormat="1" applyFont="1" applyBorder="1" applyAlignment="1" applyProtection="1">
      <alignment horizontal="left" vertical="center"/>
      <protection locked="0"/>
    </xf>
    <xf numFmtId="4" fontId="10" fillId="0" borderId="0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/>
    <xf numFmtId="4" fontId="4" fillId="0" borderId="0" xfId="1" applyNumberFormat="1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left"/>
      <protection locked="0"/>
    </xf>
    <xf numFmtId="4" fontId="4" fillId="0" borderId="0" xfId="1" applyNumberFormat="1" applyFont="1" applyAlignment="1" applyProtection="1">
      <protection locked="0"/>
    </xf>
    <xf numFmtId="4" fontId="5" fillId="0" borderId="0" xfId="1" applyNumberFormat="1" applyFont="1" applyAlignment="1" applyProtection="1">
      <alignment horizontal="center"/>
      <protection locked="0"/>
    </xf>
    <xf numFmtId="4" fontId="5" fillId="0" borderId="0" xfId="1" applyNumberFormat="1" applyFont="1" applyAlignment="1" applyProtection="1">
      <protection locked="0"/>
    </xf>
    <xf numFmtId="0" fontId="3" fillId="0" borderId="0" xfId="0" applyFont="1" applyAlignment="1">
      <alignment vertical="center"/>
    </xf>
    <xf numFmtId="43" fontId="3" fillId="0" borderId="0" xfId="2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4" fillId="0" borderId="0" xfId="1" applyNumberFormat="1" applyFont="1" applyAlignment="1" applyProtection="1">
      <alignment horizontal="right" vertical="center"/>
      <protection locked="0"/>
    </xf>
    <xf numFmtId="4" fontId="5" fillId="0" borderId="0" xfId="1" applyNumberFormat="1" applyFont="1" applyAlignment="1" applyProtection="1">
      <alignment horizontal="right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1" applyNumberFormat="1" applyFont="1" applyFill="1" applyBorder="1" applyAlignment="1" applyProtection="1">
      <alignment horizontal="left" vertical="center" shrinkToFit="1"/>
    </xf>
    <xf numFmtId="0" fontId="12" fillId="0" borderId="0" xfId="0" applyFont="1" applyAlignment="1">
      <alignment vertical="center"/>
    </xf>
    <xf numFmtId="4" fontId="12" fillId="0" borderId="1" xfId="1" applyNumberFormat="1" applyFont="1" applyFill="1" applyBorder="1" applyAlignment="1" applyProtection="1">
      <alignment vertical="center" shrinkToFit="1"/>
    </xf>
    <xf numFmtId="1" fontId="12" fillId="0" borderId="1" xfId="1" applyNumberFormat="1" applyFont="1" applyFill="1" applyBorder="1" applyAlignment="1" applyProtection="1">
      <alignment vertical="center" shrinkToFit="1"/>
    </xf>
    <xf numFmtId="0" fontId="14" fillId="0" borderId="1" xfId="1" applyNumberFormat="1" applyFont="1" applyFill="1" applyBorder="1" applyAlignment="1" applyProtection="1">
      <alignment horizontal="center" vertical="center" shrinkToFit="1"/>
    </xf>
    <xf numFmtId="43" fontId="12" fillId="0" borderId="1" xfId="1" applyNumberFormat="1" applyFont="1" applyFill="1" applyBorder="1" applyAlignment="1" applyProtection="1">
      <alignment horizontal="left" vertical="center" shrinkToFit="1"/>
    </xf>
    <xf numFmtId="0" fontId="4" fillId="4" borderId="1" xfId="1" applyNumberFormat="1" applyFont="1" applyFill="1" applyBorder="1" applyAlignment="1" applyProtection="1">
      <alignment horizontal="center" vertical="center" shrinkToFit="1"/>
    </xf>
    <xf numFmtId="4" fontId="12" fillId="4" borderId="1" xfId="1" applyNumberFormat="1" applyFont="1" applyFill="1" applyBorder="1" applyAlignment="1" applyProtection="1">
      <alignment vertical="center" shrinkToFit="1"/>
    </xf>
    <xf numFmtId="4" fontId="3" fillId="0" borderId="1" xfId="1" applyNumberFormat="1" applyFont="1" applyFill="1" applyBorder="1" applyAlignment="1" applyProtection="1">
      <alignment vertical="center" shrinkToFit="1"/>
    </xf>
    <xf numFmtId="4" fontId="12" fillId="0" borderId="1" xfId="2" applyNumberFormat="1" applyFont="1" applyBorder="1" applyAlignment="1">
      <alignment horizontal="right" vertical="center" shrinkToFit="1"/>
    </xf>
    <xf numFmtId="4" fontId="12" fillId="0" borderId="1" xfId="0" applyNumberFormat="1" applyFont="1" applyBorder="1" applyAlignment="1">
      <alignment horizontal="right" vertical="center" shrinkToFit="1"/>
    </xf>
    <xf numFmtId="4" fontId="12" fillId="4" borderId="1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43" fontId="3" fillId="0" borderId="0" xfId="2" applyFont="1" applyAlignment="1">
      <alignment horizontal="center" vertical="center"/>
    </xf>
    <xf numFmtId="4" fontId="12" fillId="2" borderId="1" xfId="0" applyNumberFormat="1" applyFont="1" applyFill="1" applyBorder="1" applyAlignment="1">
      <alignment horizontal="right" vertical="center" shrinkToFit="1"/>
    </xf>
    <xf numFmtId="4" fontId="13" fillId="2" borderId="1" xfId="0" applyNumberFormat="1" applyFont="1" applyFill="1" applyBorder="1" applyAlignment="1">
      <alignment horizontal="right" vertical="center" shrinkToFit="1"/>
    </xf>
    <xf numFmtId="4" fontId="13" fillId="4" borderId="1" xfId="0" applyNumberFormat="1" applyFont="1" applyFill="1" applyBorder="1" applyAlignment="1">
      <alignment horizontal="right" vertical="center" shrinkToFit="1"/>
    </xf>
    <xf numFmtId="0" fontId="4" fillId="2" borderId="1" xfId="1" applyNumberFormat="1" applyFont="1" applyFill="1" applyBorder="1" applyAlignment="1" applyProtection="1">
      <alignment horizontal="center" vertical="center" shrinkToFit="1"/>
    </xf>
    <xf numFmtId="4" fontId="12" fillId="2" borderId="1" xfId="1" applyNumberFormat="1" applyFont="1" applyFill="1" applyBorder="1" applyAlignment="1" applyProtection="1">
      <alignment vertical="center" shrinkToFit="1"/>
    </xf>
    <xf numFmtId="20" fontId="10" fillId="4" borderId="1" xfId="1" applyNumberFormat="1" applyFont="1" applyFill="1" applyBorder="1" applyAlignment="1" applyProtection="1">
      <alignment horizontal="center" vertical="center" shrinkToFit="1"/>
    </xf>
    <xf numFmtId="4" fontId="13" fillId="4" borderId="1" xfId="1" applyNumberFormat="1" applyFont="1" applyFill="1" applyBorder="1" applyAlignment="1" applyProtection="1">
      <alignment vertical="center" shrinkToFit="1"/>
    </xf>
    <xf numFmtId="4" fontId="13" fillId="4" borderId="1" xfId="2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10" fillId="2" borderId="1" xfId="1" applyNumberFormat="1" applyFont="1" applyFill="1" applyBorder="1" applyAlignment="1" applyProtection="1">
      <alignment horizontal="center" vertical="center" shrinkToFit="1"/>
    </xf>
    <xf numFmtId="4" fontId="13" fillId="2" borderId="1" xfId="1" applyNumberFormat="1" applyFont="1" applyFill="1" applyBorder="1" applyAlignment="1" applyProtection="1">
      <alignment vertical="center" shrinkToFit="1"/>
    </xf>
    <xf numFmtId="4" fontId="13" fillId="2" borderId="1" xfId="2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4" fontId="17" fillId="4" borderId="1" xfId="0" applyNumberFormat="1" applyFont="1" applyFill="1" applyBorder="1" applyAlignment="1">
      <alignment horizontal="right" vertical="center" shrinkToFit="1"/>
    </xf>
    <xf numFmtId="0" fontId="17" fillId="4" borderId="1" xfId="0" applyFont="1" applyFill="1" applyBorder="1" applyAlignment="1">
      <alignment horizontal="right" vertical="center" shrinkToFit="1"/>
    </xf>
    <xf numFmtId="0" fontId="17" fillId="0" borderId="0" xfId="0" applyFont="1" applyAlignment="1">
      <alignment vertical="center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8" fillId="0" borderId="0" xfId="1" applyNumberFormat="1" applyFont="1" applyAlignment="1" applyProtection="1">
      <alignment vertical="center"/>
      <protection locked="0"/>
    </xf>
    <xf numFmtId="4" fontId="18" fillId="0" borderId="0" xfId="1" applyNumberFormat="1" applyFont="1" applyAlignment="1" applyProtection="1">
      <alignment horizontal="center" vertical="center"/>
      <protection locked="0"/>
    </xf>
    <xf numFmtId="4" fontId="18" fillId="0" borderId="0" xfId="1" applyNumberFormat="1" applyFont="1" applyAlignment="1" applyProtection="1">
      <alignment vertical="center"/>
      <protection locked="0"/>
    </xf>
    <xf numFmtId="10" fontId="19" fillId="0" borderId="0" xfId="1" applyNumberFormat="1" applyFont="1" applyAlignment="1" applyProtection="1">
      <alignment vertical="center"/>
      <protection locked="0"/>
    </xf>
    <xf numFmtId="0" fontId="12" fillId="0" borderId="0" xfId="0" applyFont="1"/>
    <xf numFmtId="0" fontId="12" fillId="0" borderId="0" xfId="0" applyFont="1" applyAlignment="1">
      <alignment horizontal="center"/>
    </xf>
    <xf numFmtId="4" fontId="12" fillId="0" borderId="1" xfId="1" applyNumberFormat="1" applyFont="1" applyFill="1" applyBorder="1" applyAlignment="1" applyProtection="1">
      <alignment horizontal="center" vertical="center" shrinkToFit="1"/>
    </xf>
    <xf numFmtId="4" fontId="4" fillId="0" borderId="1" xfId="1" applyNumberFormat="1" applyFont="1" applyFill="1" applyBorder="1" applyAlignment="1" applyProtection="1">
      <alignment horizontal="center" vertical="center" shrinkToFit="1"/>
    </xf>
    <xf numFmtId="1" fontId="21" fillId="0" borderId="0" xfId="1" applyNumberFormat="1" applyFont="1" applyAlignment="1" applyProtection="1">
      <alignment vertical="center" shrinkToFit="1"/>
      <protection locked="0"/>
    </xf>
    <xf numFmtId="4" fontId="21" fillId="0" borderId="0" xfId="1" applyNumberFormat="1" applyFont="1" applyAlignment="1" applyProtection="1">
      <alignment vertical="center"/>
      <protection locked="0"/>
    </xf>
    <xf numFmtId="43" fontId="22" fillId="0" borderId="0" xfId="2" applyFont="1" applyAlignment="1" applyProtection="1">
      <alignment vertical="center"/>
      <protection locked="0"/>
    </xf>
    <xf numFmtId="4" fontId="22" fillId="0" borderId="0" xfId="1" applyNumberFormat="1" applyFont="1" applyAlignment="1" applyProtection="1">
      <alignment vertical="center"/>
      <protection locked="0"/>
    </xf>
    <xf numFmtId="10" fontId="21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vertical="center"/>
      <protection locked="0"/>
    </xf>
    <xf numFmtId="187" fontId="21" fillId="0" borderId="0" xfId="1" applyNumberFormat="1" applyFont="1" applyAlignment="1" applyProtection="1">
      <alignment vertical="center"/>
      <protection locked="0"/>
    </xf>
    <xf numFmtId="0" fontId="15" fillId="0" borderId="1" xfId="1" applyNumberFormat="1" applyFont="1" applyFill="1" applyBorder="1" applyAlignment="1" applyProtection="1">
      <alignment horizontal="center" vertical="center" shrinkToFit="1"/>
    </xf>
    <xf numFmtId="4" fontId="15" fillId="0" borderId="1" xfId="1" applyNumberFormat="1" applyFont="1" applyFill="1" applyBorder="1" applyAlignment="1" applyProtection="1">
      <alignment horizontal="center" vertical="center" shrinkToFit="1"/>
    </xf>
    <xf numFmtId="43" fontId="15" fillId="0" borderId="1" xfId="2" applyFont="1" applyFill="1" applyBorder="1" applyAlignment="1" applyProtection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vertical="center" shrinkToFit="1"/>
    </xf>
    <xf numFmtId="0" fontId="22" fillId="0" borderId="0" xfId="0" applyFont="1" applyAlignment="1">
      <alignment horizontal="center"/>
    </xf>
    <xf numFmtId="1" fontId="22" fillId="0" borderId="0" xfId="1" applyNumberFormat="1" applyFont="1" applyAlignment="1" applyProtection="1">
      <alignment horizontal="center" vertical="center" shrinkToFit="1"/>
      <protection locked="0"/>
    </xf>
    <xf numFmtId="4" fontId="22" fillId="0" borderId="0" xfId="1" applyNumberFormat="1" applyFont="1" applyAlignment="1" applyProtection="1">
      <alignment horizontal="left" vertical="center"/>
      <protection locked="0"/>
    </xf>
    <xf numFmtId="4" fontId="22" fillId="0" borderId="0" xfId="1" applyNumberFormat="1" applyFont="1" applyAlignment="1" applyProtection="1">
      <alignment horizontal="center" vertical="center"/>
      <protection locked="0"/>
    </xf>
    <xf numFmtId="10" fontId="22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horizontal="left" vertical="center"/>
      <protection locked="0"/>
    </xf>
    <xf numFmtId="4" fontId="22" fillId="0" borderId="0" xfId="1" applyNumberFormat="1" applyFont="1" applyBorder="1" applyAlignment="1" applyProtection="1">
      <alignment horizontal="right" vertical="center"/>
      <protection locked="0"/>
    </xf>
    <xf numFmtId="1" fontId="21" fillId="0" borderId="0" xfId="1" applyNumberFormat="1" applyFont="1" applyAlignment="1" applyProtection="1">
      <alignment horizontal="center" vertical="center" shrinkToFit="1"/>
      <protection locked="0"/>
    </xf>
    <xf numFmtId="4" fontId="21" fillId="0" borderId="0" xfId="1" applyNumberFormat="1" applyFont="1" applyAlignment="1" applyProtection="1">
      <alignment horizontal="left" vertical="center"/>
      <protection locked="0"/>
    </xf>
    <xf numFmtId="4" fontId="21" fillId="0" borderId="0" xfId="1" applyNumberFormat="1" applyFont="1" applyAlignment="1" applyProtection="1">
      <alignment horizontal="center" vertical="center"/>
      <protection locked="0"/>
    </xf>
    <xf numFmtId="4" fontId="21" fillId="0" borderId="0" xfId="1" applyNumberFormat="1" applyFont="1" applyBorder="1" applyAlignment="1" applyProtection="1">
      <alignment horizontal="left" vertical="center"/>
      <protection locked="0"/>
    </xf>
    <xf numFmtId="4" fontId="21" fillId="0" borderId="0" xfId="1" applyNumberFormat="1" applyFont="1" applyBorder="1" applyAlignment="1" applyProtection="1">
      <alignment horizontal="right" vertical="center"/>
      <protection locked="0"/>
    </xf>
    <xf numFmtId="187" fontId="21" fillId="0" borderId="0" xfId="1" applyNumberFormat="1" applyFont="1" applyAlignment="1" applyProtection="1">
      <alignment horizontal="center" vertical="center"/>
      <protection locked="0"/>
    </xf>
    <xf numFmtId="4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Fill="1" applyBorder="1" applyAlignment="1">
      <alignment horizontal="right" vertical="center" shrinkToFit="1"/>
    </xf>
    <xf numFmtId="20" fontId="2" fillId="4" borderId="1" xfId="1" applyNumberFormat="1" applyFont="1" applyFill="1" applyBorder="1" applyAlignment="1" applyProtection="1">
      <alignment horizontal="center" vertical="center" shrinkToFit="1"/>
    </xf>
    <xf numFmtId="4" fontId="6" fillId="4" borderId="1" xfId="1" applyNumberFormat="1" applyFont="1" applyFill="1" applyBorder="1" applyAlignment="1" applyProtection="1">
      <alignment vertical="center" shrinkToFit="1"/>
    </xf>
    <xf numFmtId="4" fontId="6" fillId="4" borderId="1" xfId="0" applyNumberFormat="1" applyFont="1" applyFill="1" applyBorder="1" applyAlignment="1">
      <alignment horizontal="right" vertical="center" shrinkToFit="1"/>
    </xf>
    <xf numFmtId="0" fontId="2" fillId="2" borderId="1" xfId="1" applyNumberFormat="1" applyFont="1" applyFill="1" applyBorder="1" applyAlignment="1" applyProtection="1">
      <alignment horizontal="center" vertical="center" shrinkToFit="1"/>
    </xf>
    <xf numFmtId="4" fontId="6" fillId="2" borderId="1" xfId="1" applyNumberFormat="1" applyFont="1" applyFill="1" applyBorder="1" applyAlignment="1" applyProtection="1">
      <alignment vertical="center" shrinkToFit="1"/>
    </xf>
    <xf numFmtId="4" fontId="6" fillId="2" borderId="1" xfId="0" applyNumberFormat="1" applyFont="1" applyFill="1" applyBorder="1" applyAlignment="1">
      <alignment horizontal="right" vertical="center" shrinkToFit="1"/>
    </xf>
    <xf numFmtId="1" fontId="10" fillId="0" borderId="0" xfId="1" applyNumberFormat="1" applyFont="1" applyAlignment="1" applyProtection="1">
      <alignment horizontal="center" vertical="center" shrinkToFit="1"/>
      <protection locked="0"/>
    </xf>
    <xf numFmtId="4" fontId="13" fillId="0" borderId="0" xfId="1" applyNumberFormat="1" applyFont="1" applyAlignment="1" applyProtection="1">
      <alignment vertical="center"/>
      <protection locked="0"/>
    </xf>
    <xf numFmtId="43" fontId="10" fillId="0" borderId="0" xfId="2" applyFont="1" applyAlignment="1" applyProtection="1">
      <alignment horizontal="center" vertical="center"/>
      <protection locked="0"/>
    </xf>
    <xf numFmtId="43" fontId="10" fillId="0" borderId="0" xfId="2" applyFont="1" applyAlignment="1" applyProtection="1">
      <alignment horizontal="left" vertical="center"/>
      <protection locked="0"/>
    </xf>
    <xf numFmtId="43" fontId="10" fillId="0" borderId="0" xfId="2" applyFont="1" applyAlignment="1" applyProtection="1">
      <alignment vertical="center"/>
      <protection locked="0"/>
    </xf>
    <xf numFmtId="43" fontId="10" fillId="0" borderId="0" xfId="2" applyFont="1" applyBorder="1" applyAlignment="1" applyProtection="1">
      <alignment horizontal="left" vertical="center"/>
      <protection locked="0"/>
    </xf>
    <xf numFmtId="43" fontId="10" fillId="0" borderId="0" xfId="2" applyFont="1" applyBorder="1" applyAlignment="1" applyProtection="1">
      <alignment horizontal="right" vertical="center"/>
      <protection locked="0"/>
    </xf>
    <xf numFmtId="43" fontId="12" fillId="0" borderId="0" xfId="2" applyFont="1"/>
    <xf numFmtId="43" fontId="4" fillId="0" borderId="1" xfId="2" applyFont="1" applyFill="1" applyBorder="1" applyAlignment="1" applyProtection="1">
      <alignment horizontal="center" vertical="center" shrinkToFit="1"/>
    </xf>
    <xf numFmtId="43" fontId="4" fillId="0" borderId="0" xfId="2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left" vertical="center"/>
      <protection locked="0"/>
    </xf>
    <xf numFmtId="43" fontId="4" fillId="0" borderId="0" xfId="2" applyFont="1" applyAlignment="1" applyProtection="1">
      <alignment vertical="center"/>
      <protection locked="0"/>
    </xf>
    <xf numFmtId="43" fontId="5" fillId="0" borderId="0" xfId="2" applyFont="1" applyAlignment="1" applyProtection="1">
      <alignment horizontal="center" vertical="center"/>
      <protection locked="0"/>
    </xf>
    <xf numFmtId="43" fontId="5" fillId="0" borderId="0" xfId="2" applyFont="1" applyAlignment="1" applyProtection="1">
      <alignment vertical="center"/>
      <protection locked="0"/>
    </xf>
    <xf numFmtId="0" fontId="12" fillId="0" borderId="0" xfId="0" applyFont="1" applyAlignment="1"/>
    <xf numFmtId="43" fontId="12" fillId="0" borderId="0" xfId="2" applyFont="1" applyAlignment="1"/>
    <xf numFmtId="0" fontId="4" fillId="0" borderId="1" xfId="1" applyNumberFormat="1" applyFont="1" applyFill="1" applyBorder="1" applyAlignment="1" applyProtection="1">
      <alignment horizontal="center" shrinkToFit="1"/>
    </xf>
    <xf numFmtId="4" fontId="12" fillId="0" borderId="1" xfId="1" applyNumberFormat="1" applyFont="1" applyFill="1" applyBorder="1" applyAlignment="1" applyProtection="1">
      <alignment horizontal="left" shrinkToFit="1"/>
    </xf>
    <xf numFmtId="4" fontId="12" fillId="0" borderId="1" xfId="1" applyNumberFormat="1" applyFont="1" applyFill="1" applyBorder="1" applyAlignment="1" applyProtection="1">
      <alignment shrinkToFit="1"/>
    </xf>
    <xf numFmtId="1" fontId="12" fillId="0" borderId="1" xfId="1" applyNumberFormat="1" applyFont="1" applyFill="1" applyBorder="1" applyAlignment="1" applyProtection="1">
      <alignment shrinkToFit="1"/>
    </xf>
    <xf numFmtId="0" fontId="14" fillId="0" borderId="1" xfId="1" applyNumberFormat="1" applyFont="1" applyFill="1" applyBorder="1" applyAlignment="1" applyProtection="1">
      <alignment horizontal="center" shrinkToFit="1"/>
    </xf>
    <xf numFmtId="43" fontId="4" fillId="0" borderId="0" xfId="2" applyFont="1" applyAlignment="1" applyProtection="1">
      <alignment horizontal="center"/>
      <protection locked="0"/>
    </xf>
    <xf numFmtId="43" fontId="4" fillId="0" borderId="0" xfId="2" applyFont="1" applyAlignment="1" applyProtection="1">
      <protection locked="0"/>
    </xf>
    <xf numFmtId="43" fontId="5" fillId="0" borderId="0" xfId="2" applyFont="1" applyAlignment="1" applyProtection="1">
      <alignment horizontal="center"/>
      <protection locked="0"/>
    </xf>
    <xf numFmtId="43" fontId="5" fillId="0" borderId="0" xfId="2" applyFont="1" applyAlignment="1" applyProtection="1">
      <protection locked="0"/>
    </xf>
    <xf numFmtId="43" fontId="12" fillId="0" borderId="0" xfId="2" applyFont="1" applyAlignment="1">
      <alignment vertical="center"/>
    </xf>
    <xf numFmtId="4" fontId="13" fillId="0" borderId="0" xfId="1" applyNumberFormat="1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1" fontId="12" fillId="0" borderId="1" xfId="1" applyNumberFormat="1" applyFont="1" applyFill="1" applyBorder="1" applyAlignment="1" applyProtection="1">
      <alignment horizontal="left" vertical="center" shrinkToFit="1"/>
    </xf>
    <xf numFmtId="189" fontId="12" fillId="0" borderId="1" xfId="2" applyNumberFormat="1" applyFont="1" applyBorder="1" applyAlignment="1">
      <alignment horizontal="right" vertical="center" shrinkToFit="1"/>
    </xf>
    <xf numFmtId="189" fontId="12" fillId="0" borderId="1" xfId="2" applyNumberFormat="1" applyFont="1" applyFill="1" applyBorder="1" applyAlignment="1">
      <alignment horizontal="right" vertical="center" shrinkToFit="1"/>
    </xf>
    <xf numFmtId="4" fontId="10" fillId="4" borderId="1" xfId="1" applyNumberFormat="1" applyFont="1" applyFill="1" applyBorder="1" applyAlignment="1" applyProtection="1">
      <alignment vertical="center" shrinkToFit="1"/>
    </xf>
    <xf numFmtId="4" fontId="10" fillId="4" borderId="1" xfId="2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10" fillId="2" borderId="1" xfId="1" applyNumberFormat="1" applyFont="1" applyFill="1" applyBorder="1" applyAlignment="1" applyProtection="1">
      <alignment vertical="center" shrinkToFit="1"/>
    </xf>
    <xf numFmtId="4" fontId="10" fillId="2" borderId="1" xfId="2" applyNumberFormat="1" applyFont="1" applyFill="1" applyBorder="1" applyAlignment="1">
      <alignment horizontal="right" vertical="center" shrinkToFit="1"/>
    </xf>
    <xf numFmtId="4" fontId="10" fillId="2" borderId="1" xfId="0" applyNumberFormat="1" applyFont="1" applyFill="1" applyBorder="1" applyAlignment="1">
      <alignment horizontal="right" vertical="center" shrinkToFit="1"/>
    </xf>
    <xf numFmtId="1" fontId="17" fillId="0" borderId="0" xfId="1" applyNumberFormat="1" applyFont="1" applyAlignment="1" applyProtection="1">
      <alignment horizontal="center" vertical="center" shrinkToFit="1"/>
      <protection locked="0"/>
    </xf>
    <xf numFmtId="4" fontId="17" fillId="0" borderId="0" xfId="1" applyNumberFormat="1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horizontal="center" vertical="center"/>
      <protection locked="0"/>
    </xf>
    <xf numFmtId="43" fontId="17" fillId="0" borderId="0" xfId="2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vertical="center"/>
      <protection locked="0"/>
    </xf>
    <xf numFmtId="10" fontId="17" fillId="0" borderId="0" xfId="1" applyNumberFormat="1" applyFont="1" applyAlignment="1" applyProtection="1">
      <alignment vertical="center"/>
      <protection locked="0"/>
    </xf>
    <xf numFmtId="4" fontId="17" fillId="0" borderId="0" xfId="1" applyNumberFormat="1" applyFont="1" applyAlignment="1" applyProtection="1">
      <alignment vertical="center"/>
      <protection locked="0"/>
    </xf>
    <xf numFmtId="43" fontId="17" fillId="0" borderId="0" xfId="2" applyFont="1" applyBorder="1" applyAlignment="1" applyProtection="1">
      <alignment horizontal="left" vertical="center"/>
      <protection locked="0"/>
    </xf>
    <xf numFmtId="43" fontId="17" fillId="0" borderId="0" xfId="2" applyFont="1" applyBorder="1" applyAlignment="1" applyProtection="1">
      <alignment horizontal="right" vertical="center"/>
      <protection locked="0"/>
    </xf>
    <xf numFmtId="43" fontId="22" fillId="0" borderId="0" xfId="2" applyFont="1" applyAlignment="1" applyProtection="1">
      <alignment horizontal="center" vertical="center"/>
      <protection locked="0"/>
    </xf>
    <xf numFmtId="43" fontId="22" fillId="0" borderId="0" xfId="2" applyFont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right" vertical="center"/>
      <protection locked="0"/>
    </xf>
    <xf numFmtId="4" fontId="13" fillId="2" borderId="1" xfId="1" applyNumberFormat="1" applyFont="1" applyFill="1" applyBorder="1" applyAlignment="1" applyProtection="1">
      <alignment horizontal="left" vertical="center" shrinkToFit="1"/>
    </xf>
    <xf numFmtId="189" fontId="13" fillId="2" borderId="1" xfId="2" applyNumberFormat="1" applyFont="1" applyFill="1" applyBorder="1" applyAlignment="1">
      <alignment horizontal="right" vertical="center" shrinkToFit="1"/>
    </xf>
    <xf numFmtId="4" fontId="13" fillId="4" borderId="1" xfId="1" applyNumberFormat="1" applyFont="1" applyFill="1" applyBorder="1" applyAlignment="1" applyProtection="1">
      <alignment horizontal="left" vertical="center" shrinkToFit="1"/>
    </xf>
    <xf numFmtId="189" fontId="13" fillId="4" borderId="1" xfId="2" applyNumberFormat="1" applyFont="1" applyFill="1" applyBorder="1" applyAlignment="1">
      <alignment horizontal="right" vertical="center" shrinkToFit="1"/>
    </xf>
    <xf numFmtId="49" fontId="22" fillId="5" borderId="1" xfId="1" applyNumberFormat="1" applyFont="1" applyFill="1" applyBorder="1" applyAlignment="1" applyProtection="1">
      <alignment horizontal="center" vertical="center" shrinkToFit="1"/>
    </xf>
    <xf numFmtId="43" fontId="22" fillId="5" borderId="1" xfId="1" applyNumberFormat="1" applyFont="1" applyFill="1" applyBorder="1" applyAlignment="1" applyProtection="1">
      <alignment vertical="center" shrinkToFit="1"/>
    </xf>
    <xf numFmtId="4" fontId="22" fillId="5" borderId="1" xfId="2" applyNumberFormat="1" applyFont="1" applyFill="1" applyBorder="1" applyAlignment="1">
      <alignment horizontal="right" vertical="center" shrinkToFit="1"/>
    </xf>
    <xf numFmtId="4" fontId="22" fillId="5" borderId="1" xfId="0" applyNumberFormat="1" applyFont="1" applyFill="1" applyBorder="1" applyAlignment="1">
      <alignment horizontal="right" vertical="center" shrinkToFit="1"/>
    </xf>
    <xf numFmtId="4" fontId="22" fillId="5" borderId="1" xfId="1" applyNumberFormat="1" applyFont="1" applyFill="1" applyBorder="1" applyAlignment="1" applyProtection="1">
      <alignment vertical="center" shrinkToFit="1"/>
    </xf>
    <xf numFmtId="0" fontId="23" fillId="0" borderId="0" xfId="0" applyFont="1" applyAlignment="1">
      <alignment horizontal="left" vertical="center"/>
    </xf>
    <xf numFmtId="4" fontId="17" fillId="0" borderId="0" xfId="1" applyNumberFormat="1" applyFont="1" applyAlignment="1" applyProtection="1">
      <alignment horizontal="center" vertical="center"/>
      <protection locked="0"/>
    </xf>
    <xf numFmtId="4" fontId="17" fillId="0" borderId="0" xfId="1" applyNumberFormat="1" applyFont="1" applyBorder="1" applyAlignment="1" applyProtection="1">
      <alignment horizontal="left" vertical="center"/>
      <protection locked="0"/>
    </xf>
    <xf numFmtId="4" fontId="17" fillId="0" borderId="0" xfId="1" applyNumberFormat="1" applyFont="1" applyBorder="1" applyAlignment="1" applyProtection="1">
      <alignment horizontal="right" vertical="center"/>
      <protection locked="0"/>
    </xf>
    <xf numFmtId="187" fontId="17" fillId="0" borderId="0" xfId="1" applyNumberFormat="1" applyFont="1" applyAlignment="1" applyProtection="1">
      <alignment horizontal="center" vertical="center"/>
      <protection locked="0"/>
    </xf>
    <xf numFmtId="0" fontId="24" fillId="0" borderId="0" xfId="0" applyFont="1"/>
    <xf numFmtId="0" fontId="17" fillId="0" borderId="0" xfId="0" applyFont="1" applyAlignment="1">
      <alignment horizontal="center"/>
    </xf>
    <xf numFmtId="0" fontId="24" fillId="0" borderId="1" xfId="1" applyNumberFormat="1" applyFont="1" applyFill="1" applyBorder="1" applyAlignment="1" applyProtection="1">
      <alignment horizontal="center" vertical="center" shrinkToFit="1"/>
    </xf>
    <xf numFmtId="4" fontId="17" fillId="0" borderId="1" xfId="1" applyNumberFormat="1" applyFont="1" applyFill="1" applyBorder="1" applyAlignment="1" applyProtection="1">
      <alignment horizontal="center" vertical="center" shrinkToFit="1"/>
    </xf>
    <xf numFmtId="0" fontId="24" fillId="0" borderId="0" xfId="0" applyFont="1" applyAlignment="1">
      <alignment horizontal="center"/>
    </xf>
    <xf numFmtId="0" fontId="13" fillId="0" borderId="0" xfId="0" applyFont="1"/>
    <xf numFmtId="0" fontId="24" fillId="0" borderId="0" xfId="0" applyFont="1" applyAlignment="1"/>
    <xf numFmtId="0" fontId="24" fillId="0" borderId="1" xfId="1" applyNumberFormat="1" applyFont="1" applyFill="1" applyBorder="1" applyAlignment="1" applyProtection="1">
      <alignment horizontal="center" shrinkToFit="1"/>
    </xf>
    <xf numFmtId="4" fontId="24" fillId="0" borderId="1" xfId="1" applyNumberFormat="1" applyFont="1" applyFill="1" applyBorder="1" applyAlignment="1" applyProtection="1">
      <alignment horizontal="center" shrinkToFit="1"/>
    </xf>
    <xf numFmtId="0" fontId="13" fillId="0" borderId="0" xfId="0" applyFont="1" applyAlignment="1"/>
    <xf numFmtId="1" fontId="17" fillId="0" borderId="0" xfId="1" applyNumberFormat="1" applyFont="1" applyAlignment="1" applyProtection="1">
      <alignment horizontal="center" shrinkToFit="1"/>
      <protection locked="0"/>
    </xf>
    <xf numFmtId="4" fontId="17" fillId="0" borderId="0" xfId="1" applyNumberFormat="1" applyFont="1" applyAlignment="1" applyProtection="1">
      <protection locked="0"/>
    </xf>
    <xf numFmtId="4" fontId="17" fillId="0" borderId="0" xfId="1" applyNumberFormat="1" applyFont="1" applyAlignment="1" applyProtection="1">
      <alignment horizontal="center"/>
      <protection locked="0"/>
    </xf>
    <xf numFmtId="4" fontId="17" fillId="0" borderId="0" xfId="1" applyNumberFormat="1" applyFont="1" applyAlignment="1" applyProtection="1">
      <alignment horizontal="left"/>
      <protection locked="0"/>
    </xf>
    <xf numFmtId="10" fontId="17" fillId="0" borderId="0" xfId="1" applyNumberFormat="1" applyFont="1" applyAlignment="1" applyProtection="1">
      <protection locked="0"/>
    </xf>
    <xf numFmtId="4" fontId="17" fillId="0" borderId="0" xfId="1" applyNumberFormat="1" applyFont="1" applyBorder="1" applyAlignment="1" applyProtection="1">
      <alignment horizontal="left"/>
      <protection locked="0"/>
    </xf>
    <xf numFmtId="4" fontId="17" fillId="0" borderId="0" xfId="1" applyNumberFormat="1" applyFont="1" applyBorder="1" applyAlignment="1" applyProtection="1">
      <alignment horizontal="right"/>
      <protection locked="0"/>
    </xf>
    <xf numFmtId="187" fontId="17" fillId="0" borderId="0" xfId="1" applyNumberFormat="1" applyFont="1" applyAlignment="1" applyProtection="1">
      <alignment horizontal="center"/>
      <protection locked="0"/>
    </xf>
    <xf numFmtId="4" fontId="12" fillId="0" borderId="1" xfId="0" applyNumberFormat="1" applyFont="1" applyBorder="1" applyAlignment="1">
      <alignment horizontal="right" shrinkToFit="1"/>
    </xf>
    <xf numFmtId="43" fontId="12" fillId="0" borderId="1" xfId="1" applyNumberFormat="1" applyFont="1" applyFill="1" applyBorder="1" applyAlignment="1" applyProtection="1">
      <alignment horizontal="left" shrinkToFit="1"/>
    </xf>
    <xf numFmtId="4" fontId="12" fillId="0" borderId="1" xfId="0" applyNumberFormat="1" applyFont="1" applyFill="1" applyBorder="1" applyAlignment="1">
      <alignment horizontal="right" shrinkToFit="1"/>
    </xf>
    <xf numFmtId="20" fontId="10" fillId="4" borderId="1" xfId="1" applyNumberFormat="1" applyFont="1" applyFill="1" applyBorder="1" applyAlignment="1" applyProtection="1">
      <alignment horizontal="center" shrinkToFit="1"/>
    </xf>
    <xf numFmtId="4" fontId="13" fillId="4" borderId="1" xfId="1" applyNumberFormat="1" applyFont="1" applyFill="1" applyBorder="1" applyAlignment="1" applyProtection="1">
      <alignment shrinkToFit="1"/>
    </xf>
    <xf numFmtId="4" fontId="13" fillId="4" borderId="1" xfId="0" applyNumberFormat="1" applyFont="1" applyFill="1" applyBorder="1" applyAlignment="1">
      <alignment horizontal="right" shrinkToFit="1"/>
    </xf>
    <xf numFmtId="0" fontId="10" fillId="2" borderId="1" xfId="1" applyNumberFormat="1" applyFont="1" applyFill="1" applyBorder="1" applyAlignment="1" applyProtection="1">
      <alignment horizontal="center" shrinkToFit="1"/>
    </xf>
    <xf numFmtId="4" fontId="13" fillId="2" borderId="1" xfId="1" applyNumberFormat="1" applyFont="1" applyFill="1" applyBorder="1" applyAlignment="1" applyProtection="1">
      <alignment shrinkToFit="1"/>
    </xf>
    <xf numFmtId="4" fontId="13" fillId="2" borderId="1" xfId="0" applyNumberFormat="1" applyFont="1" applyFill="1" applyBorder="1" applyAlignment="1">
      <alignment horizontal="right" shrinkToFit="1"/>
    </xf>
    <xf numFmtId="4" fontId="12" fillId="0" borderId="1" xfId="2" applyNumberFormat="1" applyFont="1" applyBorder="1" applyAlignment="1">
      <alignment horizontal="right" shrinkToFit="1"/>
    </xf>
    <xf numFmtId="0" fontId="12" fillId="0" borderId="0" xfId="0" applyFont="1" applyAlignment="1">
      <alignment horizontal="left"/>
    </xf>
    <xf numFmtId="4" fontId="13" fillId="4" borderId="1" xfId="2" applyNumberFormat="1" applyFont="1" applyFill="1" applyBorder="1" applyAlignment="1">
      <alignment horizontal="right" shrinkToFit="1"/>
    </xf>
    <xf numFmtId="4" fontId="13" fillId="2" borderId="1" xfId="2" applyNumberFormat="1" applyFont="1" applyFill="1" applyBorder="1" applyAlignment="1">
      <alignment horizontal="right" shrinkToFit="1"/>
    </xf>
    <xf numFmtId="4" fontId="24" fillId="0" borderId="1" xfId="1" applyNumberFormat="1" applyFont="1" applyFill="1" applyBorder="1" applyAlignment="1" applyProtection="1">
      <alignment horizontal="left" vertical="center" shrinkToFit="1"/>
    </xf>
    <xf numFmtId="43" fontId="24" fillId="0" borderId="1" xfId="2" applyFont="1" applyFill="1" applyBorder="1" applyAlignment="1" applyProtection="1">
      <alignment horizontal="center" vertical="center" shrinkToFit="1"/>
    </xf>
    <xf numFmtId="43" fontId="17" fillId="0" borderId="1" xfId="2" applyFont="1" applyFill="1" applyBorder="1" applyAlignment="1" applyProtection="1">
      <alignment horizontal="center" vertical="center" shrinkToFit="1"/>
    </xf>
    <xf numFmtId="0" fontId="17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2" applyNumberFormat="1" applyFont="1" applyBorder="1" applyAlignment="1">
      <alignment vertical="center" shrinkToFit="1"/>
    </xf>
    <xf numFmtId="4" fontId="12" fillId="0" borderId="1" xfId="0" applyNumberFormat="1" applyFont="1" applyBorder="1" applyAlignment="1">
      <alignment vertical="center" shrinkToFit="1"/>
    </xf>
    <xf numFmtId="49" fontId="17" fillId="5" borderId="1" xfId="1" applyNumberFormat="1" applyFont="1" applyFill="1" applyBorder="1" applyAlignment="1" applyProtection="1">
      <alignment horizontal="center" vertical="center" shrinkToFit="1"/>
    </xf>
    <xf numFmtId="4" fontId="17" fillId="5" borderId="1" xfId="1" applyNumberFormat="1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shrinkToFit="1"/>
    </xf>
    <xf numFmtId="4" fontId="17" fillId="5" borderId="1" xfId="0" applyNumberFormat="1" applyFont="1" applyFill="1" applyBorder="1" applyAlignment="1">
      <alignment horizontal="right" shrinkToFit="1"/>
    </xf>
    <xf numFmtId="0" fontId="17" fillId="0" borderId="0" xfId="0" applyFont="1"/>
    <xf numFmtId="43" fontId="17" fillId="5" borderId="1" xfId="1" applyNumberFormat="1" applyFont="1" applyFill="1" applyBorder="1" applyAlignment="1" applyProtection="1">
      <alignment horizontal="left" vertical="center" shrinkToFit="1"/>
    </xf>
    <xf numFmtId="189" fontId="17" fillId="5" borderId="1" xfId="2" applyNumberFormat="1" applyFont="1" applyFill="1" applyBorder="1" applyAlignment="1">
      <alignment horizontal="right" vertical="center" shrinkToFit="1"/>
    </xf>
    <xf numFmtId="49" fontId="17" fillId="5" borderId="1" xfId="1" applyNumberFormat="1" applyFont="1" applyFill="1" applyBorder="1" applyAlignment="1" applyProtection="1">
      <alignment horizontal="center" shrinkToFit="1"/>
    </xf>
    <xf numFmtId="43" fontId="17" fillId="5" borderId="1" xfId="1" applyNumberFormat="1" applyFont="1" applyFill="1" applyBorder="1" applyAlignment="1" applyProtection="1">
      <alignment shrinkToFit="1"/>
    </xf>
    <xf numFmtId="0" fontId="17" fillId="0" borderId="0" xfId="0" applyFont="1" applyAlignment="1"/>
    <xf numFmtId="4" fontId="13" fillId="4" borderId="1" xfId="2" applyNumberFormat="1" applyFont="1" applyFill="1" applyBorder="1" applyAlignment="1">
      <alignment vertical="center" shrinkToFit="1"/>
    </xf>
    <xf numFmtId="4" fontId="17" fillId="0" borderId="1" xfId="2" applyNumberFormat="1" applyFont="1" applyBorder="1" applyAlignment="1">
      <alignment horizontal="center" vertical="center" shrinkToFit="1"/>
    </xf>
    <xf numFmtId="4" fontId="13" fillId="2" borderId="1" xfId="2" applyNumberFormat="1" applyFont="1" applyFill="1" applyBorder="1" applyAlignment="1">
      <alignment vertical="center" shrinkToFit="1"/>
    </xf>
    <xf numFmtId="4" fontId="17" fillId="2" borderId="1" xfId="2" applyNumberFormat="1" applyFont="1" applyFill="1" applyBorder="1" applyAlignment="1">
      <alignment horizontal="center" vertical="center" shrinkToFit="1"/>
    </xf>
    <xf numFmtId="43" fontId="17" fillId="5" borderId="1" xfId="1" applyNumberFormat="1" applyFont="1" applyFill="1" applyBorder="1" applyAlignment="1" applyProtection="1">
      <alignment vertical="center" shrinkToFit="1"/>
    </xf>
    <xf numFmtId="4" fontId="17" fillId="5" borderId="1" xfId="2" applyNumberFormat="1" applyFont="1" applyFill="1" applyBorder="1" applyAlignment="1">
      <alignment vertical="center" shrinkToFit="1"/>
    </xf>
    <xf numFmtId="4" fontId="17" fillId="5" borderId="1" xfId="2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/>
    </xf>
    <xf numFmtId="4" fontId="17" fillId="0" borderId="1" xfId="1" applyNumberFormat="1" applyFont="1" applyFill="1" applyBorder="1" applyAlignment="1" applyProtection="1">
      <alignment horizontal="left" vertical="center" shrinkToFit="1"/>
    </xf>
    <xf numFmtId="4" fontId="17" fillId="0" borderId="1" xfId="0" applyNumberFormat="1" applyFont="1" applyBorder="1" applyAlignment="1">
      <alignment horizontal="right" shrinkToFi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27" fillId="0" borderId="1" xfId="0" applyFont="1" applyBorder="1" applyAlignment="1">
      <alignment horizontal="center" vertical="center"/>
    </xf>
    <xf numFmtId="17" fontId="26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4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4" fontId="13" fillId="0" borderId="0" xfId="1" applyNumberFormat="1" applyFont="1" applyAlignment="1" applyProtection="1">
      <alignment horizontal="center" vertical="center"/>
      <protection locked="0"/>
    </xf>
    <xf numFmtId="4" fontId="13" fillId="0" borderId="0" xfId="1" applyNumberFormat="1" applyFont="1" applyBorder="1" applyAlignment="1" applyProtection="1">
      <alignment horizontal="left" vertical="center"/>
      <protection locked="0"/>
    </xf>
    <xf numFmtId="4" fontId="13" fillId="0" borderId="0" xfId="1" applyNumberFormat="1" applyFont="1" applyBorder="1" applyAlignment="1" applyProtection="1">
      <alignment horizontal="right" vertical="center"/>
      <protection locked="0"/>
    </xf>
    <xf numFmtId="43" fontId="19" fillId="0" borderId="0" xfId="2" applyFont="1" applyAlignment="1" applyProtection="1">
      <alignment vertical="center"/>
      <protection locked="0"/>
    </xf>
    <xf numFmtId="43" fontId="12" fillId="0" borderId="1" xfId="2" applyFont="1" applyFill="1" applyBorder="1" applyAlignment="1" applyProtection="1">
      <alignment horizontal="left" vertical="center" shrinkToFit="1"/>
    </xf>
    <xf numFmtId="43" fontId="12" fillId="3" borderId="1" xfId="2" applyFont="1" applyFill="1" applyBorder="1" applyAlignment="1" applyProtection="1">
      <alignment horizontal="left" vertical="center" shrinkToFit="1"/>
    </xf>
    <xf numFmtId="1" fontId="13" fillId="0" borderId="0" xfId="1" applyNumberFormat="1" applyFont="1" applyAlignment="1" applyProtection="1">
      <alignment horizontal="center" vertical="center" shrinkToFit="1"/>
      <protection locked="0"/>
    </xf>
    <xf numFmtId="10" fontId="13" fillId="0" borderId="0" xfId="1" applyNumberFormat="1" applyFont="1" applyAlignment="1" applyProtection="1">
      <alignment vertical="center"/>
      <protection locked="0"/>
    </xf>
    <xf numFmtId="43" fontId="4" fillId="0" borderId="1" xfId="2" applyFont="1" applyFill="1" applyBorder="1" applyAlignment="1" applyProtection="1">
      <alignment horizontal="right" vertical="center" shrinkToFit="1"/>
    </xf>
    <xf numFmtId="4" fontId="4" fillId="0" borderId="1" xfId="1" applyNumberFormat="1" applyFont="1" applyFill="1" applyBorder="1" applyAlignment="1" applyProtection="1">
      <alignment horizontal="right" vertical="center" shrinkToFit="1"/>
    </xf>
    <xf numFmtId="188" fontId="10" fillId="0" borderId="0" xfId="2" applyNumberFormat="1" applyFont="1" applyAlignment="1" applyProtection="1">
      <alignment horizontal="center" vertical="center" shrinkToFit="1"/>
      <protection locked="0"/>
    </xf>
    <xf numFmtId="188" fontId="4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0" xfId="2" applyNumberFormat="1" applyFont="1" applyAlignment="1">
      <alignment horizontal="center"/>
    </xf>
    <xf numFmtId="43" fontId="13" fillId="0" borderId="0" xfId="2" applyFont="1" applyAlignment="1" applyProtection="1">
      <alignment horizontal="left" vertical="center"/>
      <protection locked="0"/>
    </xf>
    <xf numFmtId="43" fontId="12" fillId="0" borderId="0" xfId="2" applyFont="1" applyAlignment="1">
      <alignment horizontal="left"/>
    </xf>
    <xf numFmtId="188" fontId="12" fillId="0" borderId="0" xfId="2" applyNumberFormat="1" applyFont="1" applyAlignment="1">
      <alignment horizontal="center" vertical="center"/>
    </xf>
    <xf numFmtId="43" fontId="12" fillId="0" borderId="0" xfId="2" applyFont="1" applyAlignment="1">
      <alignment horizontal="left" vertical="center"/>
    </xf>
    <xf numFmtId="4" fontId="12" fillId="3" borderId="1" xfId="2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43" fontId="13" fillId="0" borderId="0" xfId="2" applyFont="1" applyAlignment="1">
      <alignment vertical="center"/>
    </xf>
    <xf numFmtId="188" fontId="10" fillId="4" borderId="1" xfId="2" applyNumberFormat="1" applyFont="1" applyFill="1" applyBorder="1" applyAlignment="1" applyProtection="1">
      <alignment horizontal="center" vertical="center" shrinkToFit="1"/>
    </xf>
    <xf numFmtId="43" fontId="13" fillId="4" borderId="1" xfId="2" applyFont="1" applyFill="1" applyBorder="1" applyAlignment="1" applyProtection="1">
      <alignment horizontal="left" vertical="center" shrinkToFit="1"/>
    </xf>
    <xf numFmtId="43" fontId="17" fillId="0" borderId="1" xfId="2" applyFont="1" applyBorder="1" applyAlignment="1">
      <alignment horizontal="right" vertical="center" shrinkToFit="1"/>
    </xf>
    <xf numFmtId="43" fontId="17" fillId="0" borderId="0" xfId="2" applyFont="1" applyAlignment="1">
      <alignment vertical="center"/>
    </xf>
    <xf numFmtId="4" fontId="17" fillId="0" borderId="1" xfId="0" applyNumberFormat="1" applyFont="1" applyBorder="1" applyAlignment="1">
      <alignment horizontal="right" vertical="center" shrinkToFit="1"/>
    </xf>
    <xf numFmtId="0" fontId="17" fillId="0" borderId="1" xfId="0" applyFont="1" applyBorder="1" applyAlignment="1">
      <alignment horizontal="right" vertical="center" shrinkToFit="1"/>
    </xf>
    <xf numFmtId="188" fontId="10" fillId="2" borderId="1" xfId="2" applyNumberFormat="1" applyFont="1" applyFill="1" applyBorder="1" applyAlignment="1" applyProtection="1">
      <alignment horizontal="center" vertical="center" shrinkToFit="1"/>
    </xf>
    <xf numFmtId="43" fontId="13" fillId="2" borderId="1" xfId="2" applyFont="1" applyFill="1" applyBorder="1" applyAlignment="1" applyProtection="1">
      <alignment horizontal="left" vertical="center" shrinkToFit="1"/>
    </xf>
    <xf numFmtId="43" fontId="17" fillId="2" borderId="1" xfId="2" applyFont="1" applyFill="1" applyBorder="1" applyAlignment="1">
      <alignment horizontal="right" vertical="center" shrinkToFit="1"/>
    </xf>
    <xf numFmtId="4" fontId="17" fillId="2" borderId="1" xfId="0" applyNumberFormat="1" applyFont="1" applyFill="1" applyBorder="1" applyAlignment="1">
      <alignment horizontal="right" vertical="center" shrinkToFit="1"/>
    </xf>
    <xf numFmtId="0" fontId="17" fillId="2" borderId="1" xfId="0" applyFont="1" applyFill="1" applyBorder="1" applyAlignment="1">
      <alignment horizontal="right" vertical="center" shrinkToFit="1"/>
    </xf>
    <xf numFmtId="188" fontId="17" fillId="5" borderId="1" xfId="2" applyNumberFormat="1" applyFont="1" applyFill="1" applyBorder="1" applyAlignment="1" applyProtection="1">
      <alignment horizontal="center" vertical="center" shrinkToFit="1"/>
    </xf>
    <xf numFmtId="43" fontId="17" fillId="5" borderId="1" xfId="2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vertical="center" shrinkToFit="1"/>
    </xf>
    <xf numFmtId="43" fontId="17" fillId="5" borderId="1" xfId="2" applyFont="1" applyFill="1" applyBorder="1" applyAlignment="1">
      <alignment horizontal="right" vertical="center" shrinkToFit="1"/>
    </xf>
    <xf numFmtId="10" fontId="17" fillId="5" borderId="1" xfId="3" applyNumberFormat="1" applyFont="1" applyFill="1" applyBorder="1" applyAlignment="1">
      <alignment horizontal="right" vertical="center" shrinkToFit="1"/>
    </xf>
    <xf numFmtId="4" fontId="17" fillId="5" borderId="1" xfId="0" applyNumberFormat="1" applyFont="1" applyFill="1" applyBorder="1" applyAlignment="1">
      <alignment horizontal="right" vertical="center" shrinkToFit="1"/>
    </xf>
    <xf numFmtId="0" fontId="17" fillId="5" borderId="1" xfId="0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 vertical="center"/>
    </xf>
    <xf numFmtId="43" fontId="17" fillId="0" borderId="1" xfId="2" applyFont="1" applyFill="1" applyBorder="1" applyAlignment="1" applyProtection="1">
      <alignment horizontal="right" vertical="center" shrinkToFit="1"/>
    </xf>
    <xf numFmtId="43" fontId="17" fillId="4" borderId="1" xfId="2" applyFont="1" applyFill="1" applyBorder="1" applyAlignment="1">
      <alignment horizontal="right" vertical="center" shrinkToFit="1"/>
    </xf>
    <xf numFmtId="43" fontId="32" fillId="0" borderId="0" xfId="2" applyFont="1" applyFill="1" applyAlignment="1" applyProtection="1">
      <alignment vertical="center"/>
      <protection locked="0"/>
    </xf>
    <xf numFmtId="43" fontId="33" fillId="0" borderId="0" xfId="2" applyFont="1" applyAlignment="1">
      <alignment vertical="center"/>
    </xf>
    <xf numFmtId="43" fontId="33" fillId="0" borderId="1" xfId="2" applyFont="1" applyFill="1" applyBorder="1" applyAlignment="1" applyProtection="1">
      <alignment horizontal="right" vertical="center" shrinkToFit="1"/>
    </xf>
    <xf numFmtId="10" fontId="33" fillId="0" borderId="1" xfId="3" applyNumberFormat="1" applyFont="1" applyBorder="1" applyAlignment="1">
      <alignment horizontal="right" vertical="center" shrinkToFit="1"/>
    </xf>
    <xf numFmtId="10" fontId="32" fillId="4" borderId="1" xfId="3" applyNumberFormat="1" applyFont="1" applyFill="1" applyBorder="1" applyAlignment="1">
      <alignment horizontal="right" vertical="center" shrinkToFit="1"/>
    </xf>
    <xf numFmtId="10" fontId="32" fillId="2" borderId="1" xfId="3" applyNumberFormat="1" applyFont="1" applyFill="1" applyBorder="1" applyAlignment="1">
      <alignment horizontal="right" vertical="center" shrinkToFit="1"/>
    </xf>
    <xf numFmtId="10" fontId="32" fillId="5" borderId="1" xfId="3" applyNumberFormat="1" applyFont="1" applyFill="1" applyBorder="1" applyAlignment="1">
      <alignment horizontal="right" vertical="center" shrinkToFit="1"/>
    </xf>
    <xf numFmtId="10" fontId="32" fillId="0" borderId="0" xfId="1" applyNumberFormat="1" applyFont="1" applyFill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10" fontId="33" fillId="0" borderId="1" xfId="1" applyNumberFormat="1" applyFont="1" applyFill="1" applyBorder="1" applyAlignment="1" applyProtection="1">
      <alignment horizontal="right" vertical="center" shrinkToFit="1"/>
    </xf>
    <xf numFmtId="0" fontId="17" fillId="0" borderId="0" xfId="0" applyFont="1" applyAlignment="1">
      <alignment horizontal="center" vertical="center"/>
    </xf>
    <xf numFmtId="4" fontId="17" fillId="0" borderId="1" xfId="1" applyNumberFormat="1" applyFont="1" applyFill="1" applyBorder="1" applyAlignment="1" applyProtection="1">
      <alignment horizontal="right" vertical="center" shrinkToFit="1"/>
    </xf>
    <xf numFmtId="0" fontId="24" fillId="0" borderId="1" xfId="0" applyFont="1" applyBorder="1" applyAlignment="1">
      <alignment horizontal="right" vertical="center" shrinkToFit="1"/>
    </xf>
    <xf numFmtId="0" fontId="33" fillId="0" borderId="0" xfId="0" applyFont="1" applyAlignment="1"/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89" fontId="17" fillId="0" borderId="1" xfId="2" applyNumberFormat="1" applyFont="1" applyBorder="1" applyAlignment="1">
      <alignment horizontal="right" vertical="center" shrinkToFit="1"/>
    </xf>
    <xf numFmtId="189" fontId="17" fillId="0" borderId="1" xfId="2" applyNumberFormat="1" applyFont="1" applyFill="1" applyBorder="1" applyAlignment="1">
      <alignment horizontal="right" vertical="center" shrinkToFit="1"/>
    </xf>
    <xf numFmtId="189" fontId="17" fillId="2" borderId="1" xfId="2" applyNumberFormat="1" applyFont="1" applyFill="1" applyBorder="1" applyAlignment="1">
      <alignment horizontal="right" vertical="center" shrinkToFit="1"/>
    </xf>
    <xf numFmtId="4" fontId="17" fillId="4" borderId="1" xfId="0" applyNumberFormat="1" applyFont="1" applyFill="1" applyBorder="1" applyAlignment="1">
      <alignment horizontal="right" shrinkToFit="1"/>
    </xf>
    <xf numFmtId="4" fontId="17" fillId="0" borderId="1" xfId="0" applyNumberFormat="1" applyFont="1" applyFill="1" applyBorder="1" applyAlignment="1">
      <alignment horizontal="right" shrinkToFit="1"/>
    </xf>
    <xf numFmtId="4" fontId="17" fillId="2" borderId="1" xfId="0" applyNumberFormat="1" applyFont="1" applyFill="1" applyBorder="1" applyAlignment="1">
      <alignment horizontal="right" shrinkToFit="1"/>
    </xf>
    <xf numFmtId="4" fontId="22" fillId="0" borderId="1" xfId="0" applyNumberFormat="1" applyFont="1" applyBorder="1" applyAlignment="1">
      <alignment horizontal="right" vertical="center" shrinkToFit="1"/>
    </xf>
    <xf numFmtId="4" fontId="22" fillId="4" borderId="1" xfId="0" applyNumberFormat="1" applyFont="1" applyFill="1" applyBorder="1" applyAlignment="1">
      <alignment horizontal="right" vertical="center" shrinkToFit="1"/>
    </xf>
    <xf numFmtId="4" fontId="22" fillId="0" borderId="1" xfId="0" applyNumberFormat="1" applyFont="1" applyFill="1" applyBorder="1" applyAlignment="1">
      <alignment horizontal="right" vertical="center" shrinkToFit="1"/>
    </xf>
    <xf numFmtId="4" fontId="22" fillId="2" borderId="1" xfId="0" applyNumberFormat="1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/>
    </xf>
    <xf numFmtId="4" fontId="17" fillId="0" borderId="1" xfId="2" applyNumberFormat="1" applyFont="1" applyBorder="1" applyAlignment="1">
      <alignment horizontal="right" shrinkToFit="1"/>
    </xf>
    <xf numFmtId="4" fontId="17" fillId="4" borderId="1" xfId="2" applyNumberFormat="1" applyFont="1" applyFill="1" applyBorder="1" applyAlignment="1">
      <alignment horizontal="right" shrinkToFit="1"/>
    </xf>
    <xf numFmtId="4" fontId="17" fillId="2" borderId="1" xfId="2" applyNumberFormat="1" applyFont="1" applyFill="1" applyBorder="1" applyAlignment="1">
      <alignment horizontal="right" shrinkToFit="1"/>
    </xf>
    <xf numFmtId="10" fontId="33" fillId="0" borderId="1" xfId="3" applyNumberFormat="1" applyFont="1" applyBorder="1" applyAlignment="1">
      <alignment horizontal="right" shrinkToFit="1"/>
    </xf>
    <xf numFmtId="10" fontId="32" fillId="4" borderId="1" xfId="3" applyNumberFormat="1" applyFont="1" applyFill="1" applyBorder="1" applyAlignment="1">
      <alignment horizontal="right" shrinkToFit="1"/>
    </xf>
    <xf numFmtId="10" fontId="32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/>
    <xf numFmtId="10" fontId="36" fillId="0" borderId="1" xfId="3" applyNumberFormat="1" applyFont="1" applyFill="1" applyBorder="1" applyAlignment="1" applyProtection="1">
      <alignment horizontal="center" vertical="center" wrapText="1" shrinkToFit="1"/>
    </xf>
    <xf numFmtId="10" fontId="32" fillId="2" borderId="1" xfId="3" applyNumberFormat="1" applyFont="1" applyFill="1" applyBorder="1" applyAlignment="1">
      <alignment horizontal="right" shrinkToFit="1"/>
    </xf>
    <xf numFmtId="10" fontId="32" fillId="5" borderId="1" xfId="3" applyNumberFormat="1" applyFont="1" applyFill="1" applyBorder="1" applyAlignment="1">
      <alignment horizontal="right" shrinkToFit="1"/>
    </xf>
    <xf numFmtId="10" fontId="32" fillId="0" borderId="0" xfId="3" applyNumberFormat="1" applyFont="1"/>
    <xf numFmtId="10" fontId="37" fillId="0" borderId="1" xfId="3" applyNumberFormat="1" applyFont="1" applyFill="1" applyBorder="1" applyAlignment="1" applyProtection="1">
      <alignment horizontal="center" vertical="center" wrapText="1" shrinkToFit="1"/>
    </xf>
    <xf numFmtId="10" fontId="16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 applyAlignment="1">
      <alignment vertical="center"/>
    </xf>
    <xf numFmtId="10" fontId="33" fillId="0" borderId="1" xfId="3" applyNumberFormat="1" applyFont="1" applyBorder="1" applyAlignment="1">
      <alignment vertical="center" shrinkToFit="1"/>
    </xf>
    <xf numFmtId="10" fontId="32" fillId="4" borderId="1" xfId="3" applyNumberFormat="1" applyFont="1" applyFill="1" applyBorder="1" applyAlignment="1">
      <alignment vertical="center" shrinkToFit="1"/>
    </xf>
    <xf numFmtId="10" fontId="32" fillId="2" borderId="1" xfId="3" applyNumberFormat="1" applyFont="1" applyFill="1" applyBorder="1" applyAlignment="1">
      <alignment vertical="center" shrinkToFit="1"/>
    </xf>
    <xf numFmtId="10" fontId="32" fillId="5" borderId="1" xfId="3" applyNumberFormat="1" applyFont="1" applyFill="1" applyBorder="1" applyAlignment="1">
      <alignment vertical="center" shrinkToFit="1"/>
    </xf>
    <xf numFmtId="10" fontId="30" fillId="0" borderId="0" xfId="3" applyNumberFormat="1" applyFont="1" applyFill="1" applyAlignment="1" applyProtection="1">
      <alignment vertical="center"/>
      <protection locked="0"/>
    </xf>
    <xf numFmtId="10" fontId="34" fillId="0" borderId="1" xfId="3" applyNumberFormat="1" applyFont="1" applyFill="1" applyBorder="1" applyAlignment="1" applyProtection="1">
      <alignment horizontal="center" vertical="center" wrapText="1" shrinkToFit="1"/>
    </xf>
    <xf numFmtId="10" fontId="22" fillId="5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 applyAlignment="1">
      <alignment horizontal="right" vertical="center"/>
    </xf>
    <xf numFmtId="10" fontId="35" fillId="0" borderId="0" xfId="3" applyNumberFormat="1" applyFont="1" applyAlignment="1">
      <alignment horizontal="center" vertical="center"/>
    </xf>
    <xf numFmtId="10" fontId="33" fillId="0" borderId="1" xfId="3" applyNumberFormat="1" applyFont="1" applyFill="1" applyBorder="1" applyAlignment="1">
      <alignment horizontal="right" vertical="center" shrinkToFit="1"/>
    </xf>
    <xf numFmtId="10" fontId="32" fillId="0" borderId="0" xfId="3" applyNumberFormat="1" applyFont="1" applyFill="1" applyAlignment="1" applyProtection="1">
      <protection locked="0"/>
    </xf>
    <xf numFmtId="10" fontId="33" fillId="0" borderId="0" xfId="3" applyNumberFormat="1" applyFont="1" applyAlignment="1"/>
    <xf numFmtId="10" fontId="33" fillId="0" borderId="1" xfId="3" applyNumberFormat="1" applyFont="1" applyFill="1" applyBorder="1" applyAlignment="1" applyProtection="1">
      <alignment horizontal="center" wrapText="1" shrinkToFit="1"/>
    </xf>
    <xf numFmtId="10" fontId="33" fillId="0" borderId="1" xfId="3" applyNumberFormat="1" applyFont="1" applyFill="1" applyBorder="1" applyAlignment="1">
      <alignment horizontal="right" shrinkToFit="1"/>
    </xf>
    <xf numFmtId="10" fontId="17" fillId="5" borderId="1" xfId="3" applyNumberFormat="1" applyFont="1" applyFill="1" applyBorder="1" applyAlignment="1">
      <alignment horizontal="right" shrinkToFit="1"/>
    </xf>
    <xf numFmtId="10" fontId="16" fillId="0" borderId="1" xfId="3" applyNumberFormat="1" applyFont="1" applyFill="1" applyBorder="1" applyAlignment="1" applyProtection="1">
      <alignment horizontal="center" vertical="center" wrapText="1" shrinkToFit="1"/>
    </xf>
    <xf numFmtId="10" fontId="35" fillId="0" borderId="1" xfId="3" applyNumberFormat="1" applyFont="1" applyBorder="1" applyAlignment="1">
      <alignment horizontal="right" vertical="center" shrinkToFit="1"/>
    </xf>
    <xf numFmtId="10" fontId="16" fillId="4" borderId="1" xfId="3" applyNumberFormat="1" applyFont="1" applyFill="1" applyBorder="1" applyAlignment="1">
      <alignment horizontal="right" vertical="center" shrinkToFit="1"/>
    </xf>
    <xf numFmtId="10" fontId="35" fillId="0" borderId="1" xfId="3" applyNumberFormat="1" applyFont="1" applyFill="1" applyBorder="1" applyAlignment="1">
      <alignment horizontal="right" vertical="center" shrinkToFit="1"/>
    </xf>
    <xf numFmtId="10" fontId="16" fillId="2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/>
    <xf numFmtId="10" fontId="33" fillId="0" borderId="1" xfId="3" applyNumberFormat="1" applyFont="1" applyFill="1" applyBorder="1" applyAlignment="1" applyProtection="1">
      <alignment horizontal="center" vertical="center" shrinkToFit="1"/>
    </xf>
    <xf numFmtId="10" fontId="33" fillId="4" borderId="1" xfId="3" applyNumberFormat="1" applyFont="1" applyFill="1" applyBorder="1" applyAlignment="1">
      <alignment horizontal="right" vertical="center" shrinkToFit="1"/>
    </xf>
    <xf numFmtId="4" fontId="12" fillId="0" borderId="1" xfId="0" applyNumberFormat="1" applyFont="1" applyFill="1" applyBorder="1" applyAlignment="1">
      <alignment horizontal="right" vertical="center" shrinkToFit="1"/>
    </xf>
    <xf numFmtId="4" fontId="17" fillId="0" borderId="1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vertical="center"/>
    </xf>
    <xf numFmtId="10" fontId="33" fillId="2" borderId="1" xfId="3" applyNumberFormat="1" applyFont="1" applyFill="1" applyBorder="1" applyAlignment="1">
      <alignment horizontal="right" vertical="center" shrinkToFit="1"/>
    </xf>
    <xf numFmtId="4" fontId="24" fillId="5" borderId="1" xfId="0" applyNumberFormat="1" applyFont="1" applyFill="1" applyBorder="1" applyAlignment="1">
      <alignment horizontal="right" vertical="center" shrinkToFit="1"/>
    </xf>
    <xf numFmtId="10" fontId="24" fillId="5" borderId="1" xfId="3" applyNumberFormat="1" applyFont="1" applyFill="1" applyBorder="1" applyAlignment="1">
      <alignment horizontal="right" vertical="center" shrinkToFit="1"/>
    </xf>
    <xf numFmtId="0" fontId="24" fillId="0" borderId="0" xfId="0" applyFont="1" applyAlignment="1">
      <alignment vertical="center"/>
    </xf>
    <xf numFmtId="43" fontId="33" fillId="0" borderId="0" xfId="2" applyFont="1" applyAlignment="1"/>
    <xf numFmtId="4" fontId="24" fillId="0" borderId="1" xfId="0" applyNumberFormat="1" applyFont="1" applyBorder="1" applyAlignment="1">
      <alignment horizontal="right" vertical="center" shrinkToFit="1"/>
    </xf>
    <xf numFmtId="190" fontId="6" fillId="4" borderId="1" xfId="0" applyNumberFormat="1" applyFont="1" applyFill="1" applyBorder="1" applyAlignment="1">
      <alignment horizontal="right" vertical="center" shrinkToFit="1"/>
    </xf>
    <xf numFmtId="190" fontId="22" fillId="5" borderId="1" xfId="0" applyNumberFormat="1" applyFont="1" applyFill="1" applyBorder="1" applyAlignment="1">
      <alignment horizontal="right" vertical="center" shrinkToFit="1"/>
    </xf>
    <xf numFmtId="190" fontId="13" fillId="4" borderId="1" xfId="0" applyNumberFormat="1" applyFont="1" applyFill="1" applyBorder="1" applyAlignment="1">
      <alignment horizontal="right" vertical="center" shrinkToFit="1"/>
    </xf>
    <xf numFmtId="191" fontId="13" fillId="4" borderId="1" xfId="2" applyNumberFormat="1" applyFont="1" applyFill="1" applyBorder="1" applyAlignment="1">
      <alignment horizontal="right" vertical="center" shrinkToFit="1"/>
    </xf>
    <xf numFmtId="192" fontId="10" fillId="4" borderId="1" xfId="2" applyNumberFormat="1" applyFont="1" applyFill="1" applyBorder="1" applyAlignment="1">
      <alignment horizontal="right" vertical="center" shrinkToFit="1"/>
    </xf>
    <xf numFmtId="190" fontId="17" fillId="5" borderId="1" xfId="0" applyNumberFormat="1" applyFont="1" applyFill="1" applyBorder="1" applyAlignment="1">
      <alignment horizontal="right" vertical="center" shrinkToFit="1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center"/>
      <protection locked="0"/>
    </xf>
  </cellXfs>
  <cellStyles count="4">
    <cellStyle name="Comma" xfId="2" builtinId="3"/>
    <cellStyle name="Normal" xfId="0" builtinId="0"/>
    <cellStyle name="Normal_SUOSTOCK 1" xfId="1"/>
    <cellStyle name="Percent" xfId="3" builtinId="5"/>
  </cellStyles>
  <dxfs count="0"/>
  <tableStyles count="0" defaultTableStyle="TableStyleMedium2" defaultPivotStyle="PivotStyleLight16"/>
  <colors>
    <mruColors>
      <color rgb="FF0000FF"/>
      <color rgb="FFFF66CC"/>
      <color rgb="FF00FFFF"/>
      <color rgb="FFFF99FF"/>
      <color rgb="FF0066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mel/Downloads/&#3619;&#3591;.%20&#3611;&#3637;%202560/&#3619;&#3591;.&#3648;&#3610;&#3636;&#3585;&#3618;&#3634;%20&#3619;&#3614;&#3626;&#3605;.%2060/&#3619;&#3634;&#3618;&#3591;&#3634;&#3609;&#3617;&#3641;&#3621;&#3588;&#3656;&#3634;&#3585;&#3634;&#3619;&#3648;&#3610;&#3636;&#3585;&#3618;&#3634;&#3611;&#3619;&#3633;&#3610;&#3651;&#3627;&#3617;&#3656;..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ยา(ทั่วไป)"/>
      <sheetName val="1.2.ยา(โรคเรื้อรัง)"/>
      <sheetName val="1.3.vaccine"/>
      <sheetName val="1.4.ยา(ไม่รวมvac)"/>
      <sheetName val="1.5.ยาทั้งหมด(รวมvac)"/>
      <sheetName val="3.1.ยา+วชย"/>
      <sheetName val="3.2.ยา+vac+วชย."/>
      <sheetName val="ยาopd พิเศษ"/>
      <sheetName val="5.1.รพ.ยาสมุนไพร1"/>
      <sheetName val="6.%ยาสมุนไพร"/>
      <sheetName val="5.2.รพ.สมุนไพร2"/>
      <sheetName val="วัสดุทางการแพทย์"/>
      <sheetName val="วัสดุlab"/>
      <sheetName val="วัสดุทันตกรรม"/>
      <sheetName val="วัสดุสำนักงาน"/>
      <sheetName val="วัสดุงานบ้าน"/>
      <sheetName val="ยาเรื้อรังฟรี"/>
    </sheetNames>
    <sheetDataSet>
      <sheetData sheetId="0">
        <row r="2">
          <cell r="C2" t="str">
            <v>จาก ฝ่ายเภสัชกรรมชุมชน  โรงพยาบาลกุมภวาปี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11"/>
  <sheetViews>
    <sheetView workbookViewId="0">
      <selection activeCell="D6" sqref="D6"/>
    </sheetView>
  </sheetViews>
  <sheetFormatPr defaultRowHeight="36.75" customHeight="1" x14ac:dyDescent="0.2"/>
  <cols>
    <col min="1" max="1" width="3" style="222" customWidth="1"/>
    <col min="2" max="2" width="4.5" style="223" customWidth="1"/>
    <col min="3" max="3" width="55" style="160" customWidth="1"/>
    <col min="4" max="4" width="20.375" style="222" customWidth="1"/>
    <col min="5" max="27" width="3" style="222" customWidth="1"/>
    <col min="28" max="16384" width="9" style="222"/>
  </cols>
  <sheetData>
    <row r="1" spans="2:5" s="226" customFormat="1" ht="27" customHeight="1" x14ac:dyDescent="0.2">
      <c r="B1" s="224"/>
      <c r="C1" s="225" t="s">
        <v>47</v>
      </c>
    </row>
    <row r="2" spans="2:5" s="226" customFormat="1" ht="27" customHeight="1" x14ac:dyDescent="0.2">
      <c r="B2" s="224"/>
      <c r="C2" s="227" t="s">
        <v>76</v>
      </c>
    </row>
    <row r="3" spans="2:5" s="226" customFormat="1" ht="27" customHeight="1" x14ac:dyDescent="0.2">
      <c r="B3" s="224"/>
      <c r="C3" s="228" t="s">
        <v>85</v>
      </c>
      <c r="E3" s="229"/>
    </row>
    <row r="4" spans="2:5" s="226" customFormat="1" ht="22.5" customHeight="1" x14ac:dyDescent="0.2">
      <c r="B4" s="224"/>
      <c r="C4" s="230"/>
      <c r="D4" s="231" t="s">
        <v>86</v>
      </c>
      <c r="E4" s="229"/>
    </row>
    <row r="5" spans="2:5" ht="36.75" customHeight="1" x14ac:dyDescent="0.2">
      <c r="B5" s="232" t="s">
        <v>0</v>
      </c>
      <c r="C5" s="232" t="s">
        <v>46</v>
      </c>
      <c r="D5" s="233">
        <v>242519</v>
      </c>
      <c r="E5" s="223"/>
    </row>
    <row r="6" spans="2:5" ht="30" customHeight="1" x14ac:dyDescent="0.2">
      <c r="B6" s="234">
        <v>1</v>
      </c>
      <c r="C6" s="235" t="s">
        <v>73</v>
      </c>
      <c r="D6" s="236">
        <f>'1.1รวมยาทั้งหมด(1+2+3+4)'!O27</f>
        <v>1374682.97</v>
      </c>
    </row>
    <row r="7" spans="2:5" ht="30" customHeight="1" x14ac:dyDescent="0.2">
      <c r="B7" s="234">
        <v>2</v>
      </c>
      <c r="C7" s="235" t="s">
        <v>74</v>
      </c>
      <c r="D7" s="236">
        <f>'1.2 ยาทั้งหมดรวมvaccin'!O27</f>
        <v>1709001.4499999997</v>
      </c>
    </row>
    <row r="8" spans="2:5" ht="60.75" customHeight="1" x14ac:dyDescent="0.2">
      <c r="B8" s="234">
        <v>3</v>
      </c>
      <c r="C8" s="237" t="s">
        <v>78</v>
      </c>
      <c r="D8" s="236">
        <f>'2.รวมวชย ทุกประเภท'!O27</f>
        <v>0</v>
      </c>
    </row>
    <row r="9" spans="2:5" ht="36.75" customHeight="1" x14ac:dyDescent="0.2">
      <c r="B9" s="232">
        <v>4</v>
      </c>
      <c r="C9" s="240" t="s">
        <v>77</v>
      </c>
      <c r="D9" s="238">
        <f>D7+D8</f>
        <v>1709001.4499999997</v>
      </c>
    </row>
    <row r="10" spans="2:5" ht="12" customHeight="1" x14ac:dyDescent="0.2"/>
    <row r="11" spans="2:5" ht="23.25" customHeight="1" x14ac:dyDescent="0.2">
      <c r="B11" s="239" t="s">
        <v>75</v>
      </c>
      <c r="C11" s="222"/>
    </row>
  </sheetData>
  <printOptions horizontalCentered="1"/>
  <pageMargins left="0.51181102362204722" right="0.31496062992125984" top="0.74803149606299213" bottom="0.74803149606299213" header="0.31496062992125984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showGridLines="0" workbookViewId="0">
      <selection activeCell="L29" sqref="L29:N30"/>
    </sheetView>
  </sheetViews>
  <sheetFormatPr defaultColWidth="12.875" defaultRowHeight="17.25" customHeight="1" x14ac:dyDescent="0.2"/>
  <cols>
    <col min="1" max="1" width="4.75" style="257" customWidth="1"/>
    <col min="2" max="2" width="15.25" style="258" customWidth="1"/>
    <col min="3" max="14" width="8.375" style="125" customWidth="1"/>
    <col min="15" max="15" width="10" style="280" customWidth="1"/>
    <col min="16" max="16" width="9.625" style="284" customWidth="1"/>
    <col min="17" max="16384" width="12.875" style="125"/>
  </cols>
  <sheetData>
    <row r="1" spans="1:17" s="104" customFormat="1" ht="17.25" customHeight="1" x14ac:dyDescent="0.2">
      <c r="A1" s="251"/>
      <c r="B1" s="255"/>
      <c r="C1" s="102"/>
      <c r="D1" s="103" t="s">
        <v>45</v>
      </c>
      <c r="E1" s="102"/>
      <c r="F1" s="102"/>
      <c r="G1" s="102"/>
      <c r="H1" s="102"/>
      <c r="K1" s="103" t="str">
        <f>สรุปยอด!C3</f>
        <v xml:space="preserve"> ปีงบประมาณ   2563</v>
      </c>
      <c r="L1" s="102"/>
      <c r="M1" s="102"/>
      <c r="N1" s="102"/>
      <c r="O1" s="140"/>
      <c r="P1" s="283"/>
      <c r="Q1" s="244"/>
    </row>
    <row r="2" spans="1:17" s="104" customFormat="1" ht="17.25" customHeight="1" x14ac:dyDescent="0.2">
      <c r="A2" s="251"/>
      <c r="B2" s="255"/>
      <c r="C2" s="103" t="str">
        <f>'[1]1.1.ยา(ทั่วไป)'!C2</f>
        <v>จาก ฝ่ายเภสัชกรรมชุมชน  โรงพยาบาลกุมภวาปี</v>
      </c>
      <c r="D2" s="102"/>
      <c r="F2" s="102"/>
      <c r="G2" s="102"/>
      <c r="I2" s="102"/>
      <c r="J2" s="102"/>
      <c r="K2" s="102"/>
      <c r="M2" s="105"/>
      <c r="N2" s="106" t="str">
        <f>สรุปยอด!D4</f>
        <v>รายงานข้อมูลณ วันที่ 28/12/63</v>
      </c>
      <c r="O2" s="140"/>
      <c r="P2" s="283"/>
      <c r="Q2" s="244"/>
    </row>
    <row r="3" spans="1:17" ht="6.75" customHeight="1" x14ac:dyDescent="0.2"/>
    <row r="4" spans="1:17" ht="17.25" customHeight="1" x14ac:dyDescent="0.2">
      <c r="A4" s="252" t="s">
        <v>0</v>
      </c>
      <c r="B4" s="245" t="s">
        <v>1</v>
      </c>
      <c r="C4" s="249" t="s">
        <v>27</v>
      </c>
      <c r="D4" s="249" t="s">
        <v>28</v>
      </c>
      <c r="E4" s="249" t="s">
        <v>29</v>
      </c>
      <c r="F4" s="249" t="s">
        <v>30</v>
      </c>
      <c r="G4" s="249" t="s">
        <v>31</v>
      </c>
      <c r="H4" s="249" t="s">
        <v>32</v>
      </c>
      <c r="I4" s="249" t="s">
        <v>33</v>
      </c>
      <c r="J4" s="249" t="s">
        <v>34</v>
      </c>
      <c r="K4" s="249" t="s">
        <v>35</v>
      </c>
      <c r="L4" s="249" t="s">
        <v>36</v>
      </c>
      <c r="M4" s="249" t="s">
        <v>37</v>
      </c>
      <c r="N4" s="249" t="s">
        <v>38</v>
      </c>
      <c r="O4" s="281" t="s">
        <v>39</v>
      </c>
      <c r="P4" s="285" t="s">
        <v>40</v>
      </c>
    </row>
    <row r="5" spans="1:17" ht="17.25" customHeight="1" x14ac:dyDescent="0.2">
      <c r="A5" s="252">
        <v>1</v>
      </c>
      <c r="B5" s="245" t="s">
        <v>18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64">
        <f>SUM(C5:N5)</f>
        <v>0</v>
      </c>
      <c r="P5" s="286" t="e">
        <f t="shared" ref="P5:P27" si="0">O5/$O$23</f>
        <v>#DIV/0!</v>
      </c>
    </row>
    <row r="6" spans="1:17" ht="17.25" customHeight="1" x14ac:dyDescent="0.2">
      <c r="A6" s="252">
        <v>2</v>
      </c>
      <c r="B6" s="245" t="s">
        <v>19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264">
        <f t="shared" ref="O6:O27" si="1">SUM(C6:N6)</f>
        <v>0</v>
      </c>
      <c r="P6" s="286" t="e">
        <f t="shared" si="0"/>
        <v>#DIV/0!</v>
      </c>
    </row>
    <row r="7" spans="1:17" ht="17.25" customHeight="1" x14ac:dyDescent="0.2">
      <c r="A7" s="252">
        <v>3</v>
      </c>
      <c r="B7" s="245" t="s">
        <v>20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264">
        <f t="shared" si="1"/>
        <v>0</v>
      </c>
      <c r="P7" s="286" t="e">
        <f t="shared" si="0"/>
        <v>#DIV/0!</v>
      </c>
    </row>
    <row r="8" spans="1:17" ht="17.25" customHeight="1" x14ac:dyDescent="0.2">
      <c r="A8" s="252">
        <v>4</v>
      </c>
      <c r="B8" s="245" t="s">
        <v>21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264">
        <f t="shared" si="1"/>
        <v>0</v>
      </c>
      <c r="P8" s="286" t="e">
        <f t="shared" si="0"/>
        <v>#DIV/0!</v>
      </c>
    </row>
    <row r="9" spans="1:17" ht="17.25" customHeight="1" x14ac:dyDescent="0.2">
      <c r="A9" s="252">
        <v>5</v>
      </c>
      <c r="B9" s="245" t="s">
        <v>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264">
        <f t="shared" si="1"/>
        <v>0</v>
      </c>
      <c r="P9" s="286" t="e">
        <f t="shared" si="0"/>
        <v>#DIV/0!</v>
      </c>
    </row>
    <row r="10" spans="1:17" ht="17.25" customHeight="1" x14ac:dyDescent="0.2">
      <c r="A10" s="252">
        <v>6</v>
      </c>
      <c r="B10" s="245" t="s">
        <v>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264">
        <f t="shared" si="1"/>
        <v>0</v>
      </c>
      <c r="P10" s="286" t="e">
        <f t="shared" si="0"/>
        <v>#DIV/0!</v>
      </c>
    </row>
    <row r="11" spans="1:17" ht="17.25" customHeight="1" x14ac:dyDescent="0.2">
      <c r="A11" s="252">
        <v>7</v>
      </c>
      <c r="B11" s="245" t="s">
        <v>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264">
        <f t="shared" si="1"/>
        <v>0</v>
      </c>
      <c r="P11" s="286" t="e">
        <f t="shared" si="0"/>
        <v>#DIV/0!</v>
      </c>
    </row>
    <row r="12" spans="1:17" ht="17.25" customHeight="1" x14ac:dyDescent="0.2">
      <c r="A12" s="252">
        <v>8</v>
      </c>
      <c r="B12" s="245" t="s">
        <v>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264">
        <f t="shared" si="1"/>
        <v>0</v>
      </c>
      <c r="P12" s="286" t="e">
        <f t="shared" si="0"/>
        <v>#DIV/0!</v>
      </c>
    </row>
    <row r="13" spans="1:17" ht="17.25" customHeight="1" x14ac:dyDescent="0.2">
      <c r="A13" s="252">
        <v>9</v>
      </c>
      <c r="B13" s="245" t="s">
        <v>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264">
        <f t="shared" si="1"/>
        <v>0</v>
      </c>
      <c r="P13" s="286" t="e">
        <f t="shared" si="0"/>
        <v>#DIV/0!</v>
      </c>
    </row>
    <row r="14" spans="1:17" ht="17.25" customHeight="1" x14ac:dyDescent="0.2">
      <c r="A14" s="252">
        <v>10</v>
      </c>
      <c r="B14" s="245" t="s">
        <v>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264">
        <f t="shared" si="1"/>
        <v>0</v>
      </c>
      <c r="P14" s="286" t="e">
        <f t="shared" si="0"/>
        <v>#DIV/0!</v>
      </c>
    </row>
    <row r="15" spans="1:17" ht="17.25" customHeight="1" x14ac:dyDescent="0.2">
      <c r="A15" s="252">
        <v>11</v>
      </c>
      <c r="B15" s="245" t="s">
        <v>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264">
        <f t="shared" si="1"/>
        <v>0</v>
      </c>
      <c r="P15" s="286" t="e">
        <f t="shared" si="0"/>
        <v>#DIV/0!</v>
      </c>
    </row>
    <row r="16" spans="1:17" ht="17.25" customHeight="1" x14ac:dyDescent="0.2">
      <c r="A16" s="252">
        <v>12</v>
      </c>
      <c r="B16" s="245" t="s">
        <v>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64">
        <f t="shared" si="1"/>
        <v>0</v>
      </c>
      <c r="P16" s="286" t="e">
        <f t="shared" si="0"/>
        <v>#DIV/0!</v>
      </c>
    </row>
    <row r="17" spans="1:16" ht="17.25" customHeight="1" x14ac:dyDescent="0.2">
      <c r="A17" s="252">
        <v>13</v>
      </c>
      <c r="B17" s="245" t="s">
        <v>10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264">
        <f t="shared" si="1"/>
        <v>0</v>
      </c>
      <c r="P17" s="286" t="e">
        <f t="shared" si="0"/>
        <v>#DIV/0!</v>
      </c>
    </row>
    <row r="18" spans="1:16" ht="17.25" customHeight="1" x14ac:dyDescent="0.2">
      <c r="A18" s="252">
        <v>14</v>
      </c>
      <c r="B18" s="245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264">
        <f t="shared" si="1"/>
        <v>0</v>
      </c>
      <c r="P18" s="286" t="e">
        <f t="shared" si="0"/>
        <v>#DIV/0!</v>
      </c>
    </row>
    <row r="19" spans="1:16" ht="17.25" customHeight="1" x14ac:dyDescent="0.2">
      <c r="A19" s="252">
        <v>15</v>
      </c>
      <c r="B19" s="245" t="s">
        <v>12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264">
        <f t="shared" si="1"/>
        <v>0</v>
      </c>
      <c r="P19" s="286" t="e">
        <f t="shared" si="0"/>
        <v>#DIV/0!</v>
      </c>
    </row>
    <row r="20" spans="1:16" ht="17.25" customHeight="1" x14ac:dyDescent="0.2">
      <c r="A20" s="252">
        <v>16</v>
      </c>
      <c r="B20" s="245" t="s">
        <v>13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264">
        <f t="shared" si="1"/>
        <v>0</v>
      </c>
      <c r="P20" s="286" t="e">
        <f t="shared" si="0"/>
        <v>#DIV/0!</v>
      </c>
    </row>
    <row r="21" spans="1:16" ht="17.25" customHeight="1" x14ac:dyDescent="0.2">
      <c r="A21" s="252">
        <v>17</v>
      </c>
      <c r="B21" s="245" t="s">
        <v>14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264">
        <f t="shared" si="1"/>
        <v>0</v>
      </c>
      <c r="P21" s="286" t="e">
        <f t="shared" si="0"/>
        <v>#DIV/0!</v>
      </c>
    </row>
    <row r="22" spans="1:16" ht="17.25" customHeight="1" x14ac:dyDescent="0.2">
      <c r="A22" s="252">
        <v>18</v>
      </c>
      <c r="B22" s="245" t="s">
        <v>15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264">
        <f t="shared" si="1"/>
        <v>0</v>
      </c>
      <c r="P22" s="286" t="e">
        <f t="shared" si="0"/>
        <v>#DIV/0!</v>
      </c>
    </row>
    <row r="23" spans="1:16" s="261" customFormat="1" ht="17.25" customHeight="1" x14ac:dyDescent="0.2">
      <c r="A23" s="262" t="s">
        <v>67</v>
      </c>
      <c r="B23" s="263" t="s">
        <v>22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282">
        <f t="shared" si="1"/>
        <v>0</v>
      </c>
      <c r="P23" s="287" t="e">
        <f t="shared" si="0"/>
        <v>#DIV/0!</v>
      </c>
    </row>
    <row r="24" spans="1:16" ht="17.25" customHeight="1" x14ac:dyDescent="0.2">
      <c r="A24" s="253">
        <v>19</v>
      </c>
      <c r="B24" s="246" t="s">
        <v>16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64">
        <f t="shared" si="1"/>
        <v>0</v>
      </c>
      <c r="P24" s="286" t="e">
        <f t="shared" si="0"/>
        <v>#DIV/0!</v>
      </c>
    </row>
    <row r="25" spans="1:16" ht="17.25" customHeight="1" x14ac:dyDescent="0.2">
      <c r="A25" s="253">
        <v>20</v>
      </c>
      <c r="B25" s="246" t="s">
        <v>17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64">
        <f t="shared" si="1"/>
        <v>0</v>
      </c>
      <c r="P25" s="286" t="e">
        <f t="shared" si="0"/>
        <v>#DIV/0!</v>
      </c>
    </row>
    <row r="26" spans="1:16" s="261" customFormat="1" ht="17.25" customHeight="1" x14ac:dyDescent="0.2">
      <c r="A26" s="268" t="s">
        <v>54</v>
      </c>
      <c r="B26" s="269" t="s">
        <v>23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70">
        <f t="shared" si="1"/>
        <v>0</v>
      </c>
      <c r="P26" s="288" t="e">
        <f t="shared" si="0"/>
        <v>#DIV/0!</v>
      </c>
    </row>
    <row r="27" spans="1:16" s="265" customFormat="1" ht="17.25" customHeight="1" x14ac:dyDescent="0.2">
      <c r="A27" s="273" t="s">
        <v>68</v>
      </c>
      <c r="B27" s="274" t="s">
        <v>25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6">
        <f t="shared" si="1"/>
        <v>0</v>
      </c>
      <c r="P27" s="289" t="e">
        <f t="shared" si="0"/>
        <v>#DIV/0!</v>
      </c>
    </row>
    <row r="28" spans="1:16" s="115" customFormat="1" ht="18" customHeight="1" x14ac:dyDescent="0.45">
      <c r="A28" s="254"/>
      <c r="B28" s="256"/>
      <c r="O28" s="309"/>
      <c r="P28" s="354"/>
    </row>
    <row r="29" spans="1:16" s="115" customFormat="1" ht="18" customHeight="1" x14ac:dyDescent="0.45">
      <c r="A29" s="254"/>
      <c r="B29" s="256"/>
      <c r="L29" s="364" t="s">
        <v>49</v>
      </c>
      <c r="M29" s="364"/>
      <c r="N29" s="364"/>
      <c r="O29" s="309"/>
      <c r="P29" s="354"/>
    </row>
    <row r="30" spans="1:16" s="115" customFormat="1" ht="18" customHeight="1" x14ac:dyDescent="0.45">
      <c r="A30" s="254"/>
      <c r="B30" s="256"/>
      <c r="G30" s="364" t="s">
        <v>79</v>
      </c>
      <c r="H30" s="364"/>
      <c r="I30" s="364"/>
      <c r="J30" s="121"/>
      <c r="K30" s="121"/>
      <c r="L30" s="364"/>
      <c r="M30" s="364"/>
      <c r="N30" s="364"/>
      <c r="O30" s="309"/>
      <c r="P30" s="354"/>
    </row>
    <row r="31" spans="1:16" s="115" customFormat="1" ht="18" customHeight="1" x14ac:dyDescent="0.45">
      <c r="A31" s="254"/>
      <c r="B31" s="256"/>
      <c r="G31" s="121"/>
      <c r="H31" s="121" t="s">
        <v>50</v>
      </c>
      <c r="I31" s="121"/>
      <c r="J31" s="121"/>
      <c r="K31" s="121"/>
      <c r="L31" s="122"/>
      <c r="M31" s="121" t="s">
        <v>51</v>
      </c>
      <c r="N31" s="123"/>
      <c r="O31" s="309"/>
      <c r="P31" s="354"/>
    </row>
    <row r="32" spans="1:16" s="115" customFormat="1" ht="18" customHeight="1" x14ac:dyDescent="0.45">
      <c r="A32" s="254"/>
      <c r="B32" s="256"/>
      <c r="G32" s="121"/>
      <c r="H32" s="122" t="s">
        <v>52</v>
      </c>
      <c r="I32" s="122"/>
      <c r="J32" s="122"/>
      <c r="K32" s="121"/>
      <c r="L32" s="122"/>
      <c r="M32" s="121" t="s">
        <v>53</v>
      </c>
      <c r="N32" s="123"/>
      <c r="O32" s="309"/>
      <c r="P32" s="354"/>
    </row>
    <row r="33" spans="1:16" s="115" customFormat="1" ht="18" customHeight="1" x14ac:dyDescent="0.45">
      <c r="A33" s="254"/>
      <c r="B33" s="256"/>
      <c r="G33" s="122"/>
      <c r="H33" s="122"/>
      <c r="I33" s="122"/>
      <c r="J33" s="122"/>
      <c r="K33" s="121"/>
      <c r="L33" s="122"/>
      <c r="M33" s="122"/>
      <c r="N33" s="124"/>
      <c r="O33" s="309"/>
      <c r="P33" s="354"/>
    </row>
    <row r="34" spans="1:16" s="115" customFormat="1" ht="18" customHeight="1" x14ac:dyDescent="0.45">
      <c r="A34" s="254"/>
      <c r="B34" s="256"/>
      <c r="O34" s="309"/>
      <c r="P34" s="354"/>
    </row>
    <row r="35" spans="1:16" s="115" customFormat="1" ht="18" customHeight="1" x14ac:dyDescent="0.45">
      <c r="A35" s="254"/>
      <c r="B35" s="256"/>
      <c r="O35" s="309"/>
      <c r="P35" s="354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9" zoomScale="172" zoomScaleNormal="172" workbookViewId="0">
      <selection activeCell="E16" sqref="E16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56</v>
      </c>
      <c r="E1" s="9"/>
      <c r="F1" s="9"/>
      <c r="G1" s="9"/>
      <c r="H1" s="9"/>
      <c r="K1" s="10" t="str">
        <f>สรุปยอด!C3</f>
        <v xml:space="preserve"> ปีงบประมาณ   2563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28/12/63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f>15539.71-158-72.5-72.5-550-440-550-225-1800</f>
        <v>11671.71</v>
      </c>
      <c r="D5" s="36">
        <f>15339.74-158-550-330-1560-2700-345+750+4302.5</f>
        <v>14749.24</v>
      </c>
      <c r="E5" s="36">
        <f>14345.17-1560-145-550-225</f>
        <v>11865.17</v>
      </c>
      <c r="F5" s="36"/>
      <c r="G5" s="36"/>
      <c r="H5" s="36"/>
      <c r="I5" s="36"/>
      <c r="J5" s="36"/>
      <c r="K5" s="36"/>
      <c r="L5" s="36"/>
      <c r="M5" s="36"/>
      <c r="N5" s="36"/>
      <c r="O5" s="355"/>
      <c r="P5" s="286" t="e">
        <f t="shared" ref="P5:P27" si="0">O5/$O$23</f>
        <v>#DIV/0!</v>
      </c>
    </row>
    <row r="6" spans="1:17" ht="17.25" customHeight="1" x14ac:dyDescent="0.2">
      <c r="A6" s="25">
        <v>2</v>
      </c>
      <c r="B6" s="26" t="s">
        <v>19</v>
      </c>
      <c r="C6" s="36">
        <f>5210-780</f>
        <v>4430</v>
      </c>
      <c r="D6" s="36">
        <v>8502.9</v>
      </c>
      <c r="E6" s="36">
        <f>3892.67+170-1560</f>
        <v>2502.67</v>
      </c>
      <c r="F6" s="36"/>
      <c r="G6" s="36"/>
      <c r="H6" s="36"/>
      <c r="I6" s="36"/>
      <c r="J6" s="36"/>
      <c r="K6" s="36"/>
      <c r="L6" s="36"/>
      <c r="M6" s="36"/>
      <c r="N6" s="36"/>
      <c r="O6" s="355"/>
      <c r="P6" s="286" t="e">
        <f t="shared" si="0"/>
        <v>#DIV/0!</v>
      </c>
    </row>
    <row r="7" spans="1:17" ht="17.25" customHeight="1" x14ac:dyDescent="0.2">
      <c r="A7" s="25">
        <v>3</v>
      </c>
      <c r="B7" s="26" t="s">
        <v>20</v>
      </c>
      <c r="C7" s="36">
        <f>390+221.25+88.5+2630.4</f>
        <v>3330.15</v>
      </c>
      <c r="D7" s="36">
        <f>650+6743.5-110</f>
        <v>7283.5</v>
      </c>
      <c r="E7" s="36">
        <f>2138.24+260-190-79</f>
        <v>2129.2399999999998</v>
      </c>
      <c r="F7" s="36"/>
      <c r="G7" s="36"/>
      <c r="H7" s="36"/>
      <c r="I7" s="36"/>
      <c r="J7" s="36"/>
      <c r="K7" s="36"/>
      <c r="L7" s="36"/>
      <c r="M7" s="36"/>
      <c r="N7" s="36"/>
      <c r="O7" s="355"/>
      <c r="P7" s="286" t="e">
        <f t="shared" si="0"/>
        <v>#DIV/0!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f>95+13987.35-225-550-3600-750</f>
        <v>8957.35</v>
      </c>
      <c r="E8" s="36">
        <f>22741.9-1125-5400-1499.7-1100-550-220-220</f>
        <v>12627.2</v>
      </c>
      <c r="F8" s="36"/>
      <c r="G8" s="36"/>
      <c r="H8" s="36"/>
      <c r="I8" s="36"/>
      <c r="J8" s="36"/>
      <c r="K8" s="36"/>
      <c r="L8" s="36"/>
      <c r="M8" s="36"/>
      <c r="N8" s="36"/>
      <c r="O8" s="355"/>
      <c r="P8" s="286" t="e">
        <f t="shared" si="0"/>
        <v>#DIV/0!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f>4198.5-750-400-220</f>
        <v>2828.5</v>
      </c>
      <c r="E9" s="36">
        <v>0</v>
      </c>
      <c r="F9" s="36"/>
      <c r="G9" s="36"/>
      <c r="H9" s="36"/>
      <c r="I9" s="36"/>
      <c r="J9" s="36"/>
      <c r="K9" s="36"/>
      <c r="L9" s="36"/>
      <c r="M9" s="36"/>
      <c r="N9" s="36"/>
      <c r="O9" s="355"/>
      <c r="P9" s="286" t="e">
        <f t="shared" si="0"/>
        <v>#DIV/0!</v>
      </c>
    </row>
    <row r="10" spans="1:17" ht="17.25" customHeight="1" x14ac:dyDescent="0.2">
      <c r="A10" s="25">
        <v>6</v>
      </c>
      <c r="B10" s="26" t="s">
        <v>3</v>
      </c>
      <c r="C10" s="36">
        <v>3356</v>
      </c>
      <c r="D10" s="36">
        <f>4198.5-750-400-220</f>
        <v>2828.5</v>
      </c>
      <c r="E10" s="36">
        <v>3840</v>
      </c>
      <c r="F10" s="36"/>
      <c r="G10" s="36"/>
      <c r="H10" s="36"/>
      <c r="I10" s="36"/>
      <c r="J10" s="36"/>
      <c r="K10" s="36"/>
      <c r="L10" s="36"/>
      <c r="M10" s="36"/>
      <c r="N10" s="36"/>
      <c r="O10" s="355"/>
      <c r="P10" s="286" t="e">
        <f t="shared" si="0"/>
        <v>#DIV/0!</v>
      </c>
    </row>
    <row r="11" spans="1:17" ht="17.25" customHeight="1" x14ac:dyDescent="0.2">
      <c r="A11" s="25">
        <v>7</v>
      </c>
      <c r="B11" s="26" t="s">
        <v>4</v>
      </c>
      <c r="C11" s="36">
        <f>5405.58-115-190-145-700</f>
        <v>4255.58</v>
      </c>
      <c r="D11" s="36">
        <f>3562.95-145-1050</f>
        <v>2367.9499999999998</v>
      </c>
      <c r="E11" s="36">
        <f>7710.4-75-550-280-700+155</f>
        <v>6260.4</v>
      </c>
      <c r="F11" s="36"/>
      <c r="G11" s="36"/>
      <c r="H11" s="36"/>
      <c r="I11" s="36"/>
      <c r="J11" s="36"/>
      <c r="K11" s="36"/>
      <c r="L11" s="36"/>
      <c r="M11" s="36"/>
      <c r="N11" s="36"/>
      <c r="O11" s="355"/>
      <c r="P11" s="286" t="e">
        <f t="shared" si="0"/>
        <v>#DIV/0!</v>
      </c>
    </row>
    <row r="12" spans="1:17" ht="17.25" customHeight="1" x14ac:dyDescent="0.2">
      <c r="A12" s="25">
        <v>8</v>
      </c>
      <c r="B12" s="26" t="s">
        <v>5</v>
      </c>
      <c r="C12" s="36">
        <f>2745.5-330</f>
        <v>2415.5</v>
      </c>
      <c r="D12" s="36">
        <f>5902.58-1240-550-300+1660</f>
        <v>5472.58</v>
      </c>
      <c r="E12" s="36">
        <f>8698-1300-79-550-330+128.4+475</f>
        <v>7042.4</v>
      </c>
      <c r="F12" s="36"/>
      <c r="G12" s="36"/>
      <c r="H12" s="36"/>
      <c r="I12" s="36"/>
      <c r="J12" s="36"/>
      <c r="K12" s="36"/>
      <c r="L12" s="36"/>
      <c r="M12" s="36"/>
      <c r="N12" s="36"/>
      <c r="O12" s="355"/>
      <c r="P12" s="286" t="e">
        <f t="shared" si="0"/>
        <v>#DIV/0!</v>
      </c>
    </row>
    <row r="13" spans="1:17" ht="17.25" customHeight="1" x14ac:dyDescent="0.2">
      <c r="A13" s="25">
        <v>9</v>
      </c>
      <c r="B13" s="26" t="s">
        <v>6</v>
      </c>
      <c r="C13" s="36">
        <f>208+168</f>
        <v>376</v>
      </c>
      <c r="D13" s="36">
        <f>4861.48+4946.26</f>
        <v>9807.74</v>
      </c>
      <c r="E13" s="36">
        <f>4921+580-230-220</f>
        <v>5051</v>
      </c>
      <c r="F13" s="36"/>
      <c r="G13" s="36"/>
      <c r="H13" s="36"/>
      <c r="I13" s="36"/>
      <c r="J13" s="36"/>
      <c r="K13" s="36"/>
      <c r="L13" s="36"/>
      <c r="M13" s="36"/>
      <c r="N13" s="36"/>
      <c r="O13" s="355"/>
      <c r="P13" s="286" t="e">
        <f t="shared" si="0"/>
        <v>#DIV/0!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f>4647.62-1080-550</f>
        <v>3017.62</v>
      </c>
      <c r="E14" s="36">
        <f>2312.72-175-75-110-220</f>
        <v>1732.7199999999998</v>
      </c>
      <c r="F14" s="36"/>
      <c r="G14" s="36"/>
      <c r="H14" s="36"/>
      <c r="I14" s="36"/>
      <c r="J14" s="36"/>
      <c r="K14" s="36"/>
      <c r="L14" s="36"/>
      <c r="M14" s="36"/>
      <c r="N14" s="36"/>
      <c r="O14" s="355"/>
      <c r="P14" s="286" t="e">
        <f t="shared" si="0"/>
        <v>#DIV/0!</v>
      </c>
    </row>
    <row r="15" spans="1:17" ht="17.25" customHeight="1" x14ac:dyDescent="0.2">
      <c r="A15" s="25">
        <v>11</v>
      </c>
      <c r="B15" s="26" t="s">
        <v>8</v>
      </c>
      <c r="C15" s="36">
        <f>7296.5-1100-220-975</f>
        <v>5001.5</v>
      </c>
      <c r="D15" s="36">
        <f>8672.4-550</f>
        <v>8122.4</v>
      </c>
      <c r="E15" s="36">
        <f>2595.46-150+575+224.7+2430-1800-220</f>
        <v>3655.16</v>
      </c>
      <c r="F15" s="36"/>
      <c r="G15" s="36"/>
      <c r="H15" s="36"/>
      <c r="I15" s="36"/>
      <c r="J15" s="36"/>
      <c r="K15" s="36"/>
      <c r="L15" s="36"/>
      <c r="M15" s="36"/>
      <c r="N15" s="36"/>
      <c r="O15" s="355"/>
      <c r="P15" s="286" t="e">
        <f t="shared" si="0"/>
        <v>#DIV/0!</v>
      </c>
    </row>
    <row r="16" spans="1:17" ht="17.25" customHeight="1" x14ac:dyDescent="0.2">
      <c r="A16" s="25">
        <v>12</v>
      </c>
      <c r="B16" s="26" t="s">
        <v>9</v>
      </c>
      <c r="C16" s="36">
        <f>1760.5-267.5</f>
        <v>1493</v>
      </c>
      <c r="D16" s="36">
        <f>3103.8-150-75-900</f>
        <v>1978.8000000000002</v>
      </c>
      <c r="E16" s="36">
        <f>475+312+100+115+375</f>
        <v>1377</v>
      </c>
      <c r="F16" s="36"/>
      <c r="G16" s="36"/>
      <c r="H16" s="36"/>
      <c r="I16" s="36"/>
      <c r="J16" s="36"/>
      <c r="K16" s="36"/>
      <c r="L16" s="36"/>
      <c r="M16" s="36"/>
      <c r="N16" s="36"/>
      <c r="O16" s="355"/>
      <c r="P16" s="286" t="e">
        <f t="shared" si="0"/>
        <v>#DIV/0!</v>
      </c>
    </row>
    <row r="17" spans="1:16" ht="17.25" customHeight="1" x14ac:dyDescent="0.2">
      <c r="A17" s="25">
        <v>13</v>
      </c>
      <c r="B17" s="26" t="s">
        <v>10</v>
      </c>
      <c r="C17" s="36">
        <f>3371.24-750-1185-325</f>
        <v>1111.2399999999998</v>
      </c>
      <c r="D17" s="36">
        <v>6882.3</v>
      </c>
      <c r="E17" s="36">
        <f>5697+89.88+43.22-1225-220</f>
        <v>4385.1000000000004</v>
      </c>
      <c r="F17" s="36"/>
      <c r="G17" s="36"/>
      <c r="H17" s="36"/>
      <c r="I17" s="36"/>
      <c r="J17" s="36"/>
      <c r="K17" s="36"/>
      <c r="L17" s="36"/>
      <c r="M17" s="36"/>
      <c r="N17" s="36"/>
      <c r="O17" s="355"/>
      <c r="P17" s="286" t="e">
        <f t="shared" si="0"/>
        <v>#DIV/0!</v>
      </c>
    </row>
    <row r="18" spans="1:16" ht="17.25" customHeight="1" x14ac:dyDescent="0.2">
      <c r="A18" s="25">
        <v>14</v>
      </c>
      <c r="B18" s="26" t="s">
        <v>11</v>
      </c>
      <c r="C18" s="36">
        <f>5859.95-900-440-350-175-525-325</f>
        <v>3144.95</v>
      </c>
      <c r="D18" s="36">
        <f>3028.26-190</f>
        <v>2838.26</v>
      </c>
      <c r="E18" s="36">
        <f>730+428.76+429.07</f>
        <v>1587.83</v>
      </c>
      <c r="F18" s="36"/>
      <c r="G18" s="36"/>
      <c r="H18" s="36"/>
      <c r="I18" s="36"/>
      <c r="J18" s="36"/>
      <c r="K18" s="36"/>
      <c r="L18" s="36"/>
      <c r="M18" s="36"/>
      <c r="N18" s="36"/>
      <c r="O18" s="355"/>
      <c r="P18" s="286" t="e">
        <f t="shared" si="0"/>
        <v>#DIV/0!</v>
      </c>
    </row>
    <row r="19" spans="1:16" ht="17.25" customHeight="1" x14ac:dyDescent="0.2">
      <c r="A19" s="25">
        <v>15</v>
      </c>
      <c r="B19" s="26" t="s">
        <v>12</v>
      </c>
      <c r="C19" s="36">
        <v>2637.5</v>
      </c>
      <c r="D19" s="36">
        <f>15084.13-300</f>
        <v>14784.13</v>
      </c>
      <c r="E19" s="36">
        <f>4110.74-720-150+186.18</f>
        <v>3426.9199999999996</v>
      </c>
      <c r="F19" s="36"/>
      <c r="G19" s="36"/>
      <c r="H19" s="36"/>
      <c r="I19" s="36"/>
      <c r="J19" s="36"/>
      <c r="K19" s="36"/>
      <c r="L19" s="36"/>
      <c r="M19" s="36"/>
      <c r="N19" s="36"/>
      <c r="O19" s="355"/>
      <c r="P19" s="286" t="e">
        <f t="shared" si="0"/>
        <v>#DIV/0!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f>642+642+695+2782</f>
        <v>4761</v>
      </c>
      <c r="E20" s="36">
        <f>5239.08-112-336-75-225+1075</f>
        <v>5566.08</v>
      </c>
      <c r="F20" s="36"/>
      <c r="G20" s="36"/>
      <c r="H20" s="36"/>
      <c r="I20" s="36"/>
      <c r="J20" s="36"/>
      <c r="K20" s="36"/>
      <c r="L20" s="36"/>
      <c r="M20" s="36"/>
      <c r="N20" s="36"/>
      <c r="O20" s="355"/>
      <c r="P20" s="286" t="e">
        <f t="shared" si="0"/>
        <v>#DIV/0!</v>
      </c>
    </row>
    <row r="21" spans="1:16" ht="17.25" customHeight="1" x14ac:dyDescent="0.2">
      <c r="A21" s="25">
        <v>17</v>
      </c>
      <c r="B21" s="26" t="s">
        <v>14</v>
      </c>
      <c r="C21" s="36">
        <f>5762.5-267+2650-1800</f>
        <v>6345.5</v>
      </c>
      <c r="D21" s="36">
        <f>4408.72-735-150</f>
        <v>3523.7200000000003</v>
      </c>
      <c r="E21" s="36">
        <f>5375+400</f>
        <v>5775</v>
      </c>
      <c r="F21" s="36"/>
      <c r="G21" s="36"/>
      <c r="H21" s="36"/>
      <c r="I21" s="36"/>
      <c r="J21" s="36"/>
      <c r="K21" s="36"/>
      <c r="L21" s="36"/>
      <c r="M21" s="36"/>
      <c r="N21" s="36"/>
      <c r="O21" s="355"/>
      <c r="P21" s="286" t="e">
        <f t="shared" si="0"/>
        <v>#DIV/0!</v>
      </c>
    </row>
    <row r="22" spans="1:16" ht="17.25" customHeight="1" x14ac:dyDescent="0.2">
      <c r="A22" s="25">
        <v>18</v>
      </c>
      <c r="B22" s="26" t="s">
        <v>15</v>
      </c>
      <c r="C22" s="36">
        <f>3271.5-110</f>
        <v>3161.5</v>
      </c>
      <c r="D22" s="36">
        <f>6257.18-200-110-225-1800+269.64+280+600</f>
        <v>5071.8200000000006</v>
      </c>
      <c r="E22" s="36"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355"/>
      <c r="P22" s="286" t="e">
        <f t="shared" si="0"/>
        <v>#DIV/0!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C22+C21+C20+C19+C18+C17+C16+C15+C14+C13+C12+C11+C10+C9+C8+C7+C6+C5</f>
        <v>52730.130000000005</v>
      </c>
      <c r="D23" s="42">
        <f>D21+D22+D20+D19+D18+D17+D16+D15+D14+D13+D12+D11+D10+D9+D8+D7+D6+D5</f>
        <v>113778.31000000001</v>
      </c>
      <c r="E23" s="42">
        <f>E21+E20+E19+E18+E17+E16+E15+E14+E13+E12+E11+E10+E9+E8+E7+E6+E5</f>
        <v>78823.89</v>
      </c>
      <c r="F23" s="42"/>
      <c r="G23" s="42"/>
      <c r="H23" s="42"/>
      <c r="I23" s="42"/>
      <c r="J23" s="42"/>
      <c r="K23" s="42"/>
      <c r="L23" s="42"/>
      <c r="M23" s="42"/>
      <c r="N23" s="42"/>
      <c r="O23" s="53"/>
      <c r="P23" s="287" t="e">
        <f t="shared" si="0"/>
        <v>#DIV/0!</v>
      </c>
    </row>
    <row r="24" spans="1:16" ht="17.25" customHeight="1" x14ac:dyDescent="0.2">
      <c r="A24" s="30">
        <v>19</v>
      </c>
      <c r="B24" s="31" t="s">
        <v>16</v>
      </c>
      <c r="C24" s="36">
        <f>17026.7-72.5-550</f>
        <v>16404.2</v>
      </c>
      <c r="D24" s="36">
        <f>15222.03-1100</f>
        <v>14122.03</v>
      </c>
      <c r="E24" s="36">
        <f>19963.06-550+11787.98-1100-190</f>
        <v>29911.040000000001</v>
      </c>
      <c r="F24" s="36"/>
      <c r="G24" s="36"/>
      <c r="H24" s="36"/>
      <c r="I24" s="36"/>
      <c r="J24" s="36"/>
      <c r="K24" s="36"/>
      <c r="L24" s="36"/>
      <c r="M24" s="36"/>
      <c r="N24" s="36"/>
      <c r="O24" s="355"/>
      <c r="P24" s="286" t="e">
        <f t="shared" si="0"/>
        <v>#DIV/0!</v>
      </c>
    </row>
    <row r="25" spans="1:16" ht="17.25" customHeight="1" x14ac:dyDescent="0.2">
      <c r="A25" s="30">
        <v>20</v>
      </c>
      <c r="B25" s="26" t="s">
        <v>17</v>
      </c>
      <c r="C25" s="36">
        <v>0</v>
      </c>
      <c r="D25" s="36">
        <v>0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95"/>
      <c r="P25" s="286" t="e">
        <f t="shared" si="0"/>
        <v>#DIV/0!</v>
      </c>
    </row>
    <row r="26" spans="1:16" s="48" customFormat="1" ht="17.25" customHeight="1" x14ac:dyDescent="0.2">
      <c r="A26" s="49" t="s">
        <v>54</v>
      </c>
      <c r="B26" s="151" t="s">
        <v>23</v>
      </c>
      <c r="C26" s="41">
        <f>C24</f>
        <v>16404.2</v>
      </c>
      <c r="D26" s="41">
        <f>D24</f>
        <v>14122.03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1"/>
      <c r="P26" s="288" t="e">
        <f t="shared" si="0"/>
        <v>#DIV/0!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C24+C23</f>
        <v>69134.33</v>
      </c>
      <c r="D27" s="278">
        <f>D24+D23</f>
        <v>127900.34000000001</v>
      </c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89" t="e">
        <f t="shared" si="0"/>
        <v>#DIV/0!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5" t="s">
        <v>49</v>
      </c>
      <c r="M29" s="365"/>
      <c r="N29" s="365"/>
      <c r="O29" s="166"/>
      <c r="P29" s="296"/>
    </row>
    <row r="30" spans="1:16" s="114" customFormat="1" ht="18" customHeight="1" x14ac:dyDescent="0.45">
      <c r="A30" s="62"/>
      <c r="B30" s="193"/>
      <c r="G30" s="365" t="s">
        <v>79</v>
      </c>
      <c r="H30" s="365"/>
      <c r="I30" s="365"/>
      <c r="J30" s="15"/>
      <c r="K30" s="15"/>
      <c r="L30" s="365"/>
      <c r="M30" s="365"/>
      <c r="N30" s="365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9" zoomScale="166" zoomScaleNormal="166" workbookViewId="0">
      <selection activeCell="E29" sqref="E29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57</v>
      </c>
      <c r="E1" s="9"/>
      <c r="F1" s="9"/>
      <c r="G1" s="9"/>
      <c r="H1" s="9"/>
      <c r="K1" s="10" t="str">
        <f>'2.1วสด.การแพทย์'!K1</f>
        <v xml:space="preserve"> ปีงบประมาณ   2563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28/12/63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1560</v>
      </c>
      <c r="E5" s="36">
        <v>1560</v>
      </c>
      <c r="F5" s="36"/>
      <c r="G5" s="36"/>
      <c r="H5" s="36"/>
      <c r="I5" s="36"/>
      <c r="J5" s="36"/>
      <c r="K5" s="36"/>
      <c r="L5" s="36"/>
      <c r="M5" s="36"/>
      <c r="N5" s="36"/>
      <c r="O5" s="266"/>
      <c r="P5" s="286" t="e">
        <f t="shared" ref="P5:P27" si="0">O5/$O$23</f>
        <v>#DIV/0!</v>
      </c>
    </row>
    <row r="6" spans="1:17" ht="17.25" customHeight="1" x14ac:dyDescent="0.2">
      <c r="A6" s="25">
        <v>2</v>
      </c>
      <c r="B6" s="26" t="s">
        <v>19</v>
      </c>
      <c r="C6" s="36">
        <v>780</v>
      </c>
      <c r="D6" s="36">
        <v>0</v>
      </c>
      <c r="E6" s="36">
        <v>1560</v>
      </c>
      <c r="F6" s="36"/>
      <c r="G6" s="36"/>
      <c r="H6" s="36"/>
      <c r="I6" s="36"/>
      <c r="J6" s="36"/>
      <c r="K6" s="36"/>
      <c r="L6" s="36"/>
      <c r="M6" s="36"/>
      <c r="N6" s="36"/>
      <c r="O6" s="266"/>
      <c r="P6" s="286" t="e">
        <f t="shared" si="0"/>
        <v>#DIV/0!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v>0</v>
      </c>
      <c r="F7" s="36"/>
      <c r="G7" s="36"/>
      <c r="H7" s="36"/>
      <c r="I7" s="36"/>
      <c r="J7" s="36"/>
      <c r="K7" s="36"/>
      <c r="L7" s="36"/>
      <c r="M7" s="36"/>
      <c r="N7" s="36"/>
      <c r="O7" s="266"/>
      <c r="P7" s="286" t="e">
        <f t="shared" si="0"/>
        <v>#DIV/0!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/>
      <c r="G8" s="36"/>
      <c r="H8" s="36"/>
      <c r="I8" s="36"/>
      <c r="J8" s="36"/>
      <c r="K8" s="36"/>
      <c r="L8" s="36"/>
      <c r="M8" s="36"/>
      <c r="N8" s="36"/>
      <c r="O8" s="266"/>
      <c r="P8" s="286" t="e">
        <f t="shared" si="0"/>
        <v>#DIV/0!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/>
      <c r="G9" s="36"/>
      <c r="H9" s="36"/>
      <c r="I9" s="36"/>
      <c r="J9" s="36"/>
      <c r="K9" s="36"/>
      <c r="L9" s="36"/>
      <c r="M9" s="36"/>
      <c r="N9" s="36"/>
      <c r="O9" s="266"/>
      <c r="P9" s="286" t="e">
        <f t="shared" si="0"/>
        <v>#DIV/0!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/>
      <c r="G10" s="36"/>
      <c r="H10" s="36"/>
      <c r="I10" s="36"/>
      <c r="J10" s="36"/>
      <c r="K10" s="36"/>
      <c r="L10" s="36"/>
      <c r="M10" s="36"/>
      <c r="N10" s="36"/>
      <c r="O10" s="266"/>
      <c r="P10" s="286" t="e">
        <f t="shared" si="0"/>
        <v>#DIV/0!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/>
      <c r="G11" s="36"/>
      <c r="H11" s="36"/>
      <c r="I11" s="36"/>
      <c r="J11" s="36"/>
      <c r="K11" s="36"/>
      <c r="L11" s="36"/>
      <c r="M11" s="36"/>
      <c r="N11" s="36"/>
      <c r="O11" s="266"/>
      <c r="P11" s="286" t="e">
        <f t="shared" si="0"/>
        <v>#DIV/0!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>
        <v>1300</v>
      </c>
      <c r="F12" s="36"/>
      <c r="G12" s="36"/>
      <c r="H12" s="36"/>
      <c r="I12" s="36"/>
      <c r="J12" s="36"/>
      <c r="K12" s="36"/>
      <c r="L12" s="36"/>
      <c r="M12" s="36"/>
      <c r="N12" s="36"/>
      <c r="O12" s="266"/>
      <c r="P12" s="286" t="e">
        <f t="shared" si="0"/>
        <v>#DIV/0!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v>0</v>
      </c>
      <c r="E13" s="36">
        <v>0</v>
      </c>
      <c r="F13" s="36"/>
      <c r="G13" s="36"/>
      <c r="H13" s="36"/>
      <c r="I13" s="36"/>
      <c r="J13" s="36"/>
      <c r="K13" s="36"/>
      <c r="L13" s="36"/>
      <c r="M13" s="36"/>
      <c r="N13" s="36"/>
      <c r="O13" s="266"/>
      <c r="P13" s="286" t="e">
        <f t="shared" si="0"/>
        <v>#DIV/0!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v>0</v>
      </c>
      <c r="E14" s="36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266"/>
      <c r="P14" s="286" t="e">
        <f t="shared" si="0"/>
        <v>#DIV/0!</v>
      </c>
    </row>
    <row r="15" spans="1:17" ht="17.25" customHeight="1" x14ac:dyDescent="0.2">
      <c r="A15" s="25">
        <v>11</v>
      </c>
      <c r="B15" s="26" t="s">
        <v>8</v>
      </c>
      <c r="C15" s="36">
        <v>0</v>
      </c>
      <c r="D15" s="36">
        <v>0</v>
      </c>
      <c r="E15" s="36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266"/>
      <c r="P15" s="286" t="e">
        <f t="shared" si="0"/>
        <v>#DIV/0!</v>
      </c>
    </row>
    <row r="16" spans="1:17" ht="17.25" customHeight="1" x14ac:dyDescent="0.2">
      <c r="A16" s="25">
        <v>12</v>
      </c>
      <c r="B16" s="26" t="s">
        <v>9</v>
      </c>
      <c r="C16" s="36">
        <v>0</v>
      </c>
      <c r="D16" s="36">
        <v>0</v>
      </c>
      <c r="E16" s="36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266"/>
      <c r="P16" s="286" t="e">
        <f t="shared" si="0"/>
        <v>#DIV/0!</v>
      </c>
    </row>
    <row r="17" spans="1:16" ht="17.25" customHeight="1" x14ac:dyDescent="0.2">
      <c r="A17" s="25">
        <v>13</v>
      </c>
      <c r="B17" s="26" t="s">
        <v>10</v>
      </c>
      <c r="C17" s="36">
        <v>0</v>
      </c>
      <c r="D17" s="36">
        <v>0</v>
      </c>
      <c r="E17" s="36"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266"/>
      <c r="P17" s="286" t="e">
        <f t="shared" si="0"/>
        <v>#DIV/0!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>
        <v>0</v>
      </c>
      <c r="E18" s="36">
        <v>0</v>
      </c>
      <c r="F18" s="36"/>
      <c r="G18" s="36"/>
      <c r="H18" s="36"/>
      <c r="I18" s="36"/>
      <c r="J18" s="36"/>
      <c r="K18" s="36"/>
      <c r="L18" s="36"/>
      <c r="M18" s="36"/>
      <c r="N18" s="36"/>
      <c r="O18" s="266"/>
      <c r="P18" s="286" t="e">
        <f t="shared" si="0"/>
        <v>#DIV/0!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0</v>
      </c>
      <c r="E19" s="36">
        <v>780</v>
      </c>
      <c r="F19" s="36"/>
      <c r="G19" s="36"/>
      <c r="H19" s="36"/>
      <c r="I19" s="36"/>
      <c r="J19" s="36"/>
      <c r="K19" s="36"/>
      <c r="L19" s="36"/>
      <c r="M19" s="36"/>
      <c r="N19" s="36"/>
      <c r="O19" s="266"/>
      <c r="P19" s="286" t="e">
        <f t="shared" si="0"/>
        <v>#DIV/0!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v>0</v>
      </c>
      <c r="E20" s="36">
        <v>0</v>
      </c>
      <c r="F20" s="36"/>
      <c r="G20" s="36"/>
      <c r="H20" s="36"/>
      <c r="I20" s="36"/>
      <c r="J20" s="36"/>
      <c r="K20" s="36"/>
      <c r="L20" s="36"/>
      <c r="M20" s="36"/>
      <c r="N20" s="36"/>
      <c r="O20" s="266"/>
      <c r="P20" s="286" t="e">
        <f t="shared" si="0"/>
        <v>#DIV/0!</v>
      </c>
    </row>
    <row r="21" spans="1:16" ht="17.25" customHeight="1" x14ac:dyDescent="0.2">
      <c r="A21" s="25">
        <v>17</v>
      </c>
      <c r="B21" s="26" t="s">
        <v>14</v>
      </c>
      <c r="C21" s="36">
        <v>0</v>
      </c>
      <c r="D21" s="36">
        <v>0</v>
      </c>
      <c r="E21" s="36"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266"/>
      <c r="P21" s="286" t="e">
        <f t="shared" si="0"/>
        <v>#DIV/0!</v>
      </c>
    </row>
    <row r="22" spans="1:16" ht="17.25" customHeight="1" x14ac:dyDescent="0.2">
      <c r="A22" s="25">
        <v>18</v>
      </c>
      <c r="B22" s="26" t="s">
        <v>15</v>
      </c>
      <c r="C22" s="36">
        <v>0</v>
      </c>
      <c r="D22" s="36">
        <v>0</v>
      </c>
      <c r="E22" s="36"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266"/>
      <c r="P22" s="286" t="e">
        <f t="shared" si="0"/>
        <v>#DIV/0!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C6</f>
        <v>780</v>
      </c>
      <c r="D23" s="42">
        <v>1560</v>
      </c>
      <c r="E23" s="42">
        <f>E19+E12+E6+E5</f>
        <v>5200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287" t="e">
        <f t="shared" si="0"/>
        <v>#DIV/0!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>
        <v>0</v>
      </c>
      <c r="E24" s="36">
        <v>0</v>
      </c>
      <c r="F24" s="36"/>
      <c r="G24" s="36"/>
      <c r="H24" s="36"/>
      <c r="I24" s="36"/>
      <c r="J24" s="36"/>
      <c r="K24" s="36"/>
      <c r="L24" s="36"/>
      <c r="M24" s="36"/>
      <c r="N24" s="36"/>
      <c r="O24" s="266"/>
      <c r="P24" s="286" t="e">
        <f t="shared" si="0"/>
        <v>#DIV/0!</v>
      </c>
    </row>
    <row r="25" spans="1:16" ht="17.25" customHeight="1" x14ac:dyDescent="0.2">
      <c r="A25" s="30">
        <v>20</v>
      </c>
      <c r="B25" s="26" t="s">
        <v>17</v>
      </c>
      <c r="C25" s="36">
        <v>0</v>
      </c>
      <c r="D25" s="36">
        <v>0</v>
      </c>
      <c r="E25" s="36">
        <v>0</v>
      </c>
      <c r="F25" s="36"/>
      <c r="G25" s="36"/>
      <c r="H25" s="36"/>
      <c r="I25" s="36"/>
      <c r="J25" s="36"/>
      <c r="K25" s="36"/>
      <c r="L25" s="36"/>
      <c r="M25" s="36"/>
      <c r="N25" s="36"/>
      <c r="O25" s="267"/>
      <c r="P25" s="286" t="e">
        <f t="shared" si="0"/>
        <v>#DIV/0!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v>0</v>
      </c>
      <c r="D26" s="41">
        <f>D23</f>
        <v>1560</v>
      </c>
      <c r="E26" s="41">
        <v>0</v>
      </c>
      <c r="F26" s="41"/>
      <c r="G26" s="41"/>
      <c r="H26" s="41"/>
      <c r="I26" s="41"/>
      <c r="J26" s="41"/>
      <c r="K26" s="41"/>
      <c r="L26" s="41"/>
      <c r="M26" s="41"/>
      <c r="N26" s="41"/>
      <c r="O26" s="272"/>
      <c r="P26" s="288" t="e">
        <f t="shared" si="0"/>
        <v>#DIV/0!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C23</f>
        <v>780</v>
      </c>
      <c r="D27" s="278">
        <f>D23</f>
        <v>1560</v>
      </c>
      <c r="E27" s="278">
        <f>E23</f>
        <v>5200</v>
      </c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89" t="e">
        <f t="shared" si="0"/>
        <v>#DIV/0!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5" t="s">
        <v>49</v>
      </c>
      <c r="M29" s="365"/>
      <c r="N29" s="365"/>
      <c r="O29" s="166"/>
      <c r="P29" s="296"/>
    </row>
    <row r="30" spans="1:16" s="114" customFormat="1" ht="18" customHeight="1" x14ac:dyDescent="0.45">
      <c r="A30" s="62"/>
      <c r="B30" s="193"/>
      <c r="G30" s="365" t="s">
        <v>79</v>
      </c>
      <c r="H30" s="365"/>
      <c r="I30" s="365"/>
      <c r="J30" s="15"/>
      <c r="K30" s="15"/>
      <c r="L30" s="365"/>
      <c r="M30" s="365"/>
      <c r="N30" s="365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9" zoomScale="160" zoomScaleNormal="160" workbookViewId="0">
      <selection activeCell="E24" sqref="E24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58</v>
      </c>
      <c r="E1" s="9"/>
      <c r="F1" s="9"/>
      <c r="G1" s="9"/>
      <c r="H1" s="9"/>
      <c r="K1" s="10" t="str">
        <f>'2.2วสด.สนง'!K1</f>
        <v xml:space="preserve"> ปีงบประมาณ   2563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28/12/63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f>550+440+550</f>
        <v>1540</v>
      </c>
      <c r="D5" s="36">
        <f>345+550+330</f>
        <v>1225</v>
      </c>
      <c r="E5" s="36">
        <v>550</v>
      </c>
      <c r="F5" s="36"/>
      <c r="G5" s="36"/>
      <c r="H5" s="36"/>
      <c r="I5" s="36"/>
      <c r="J5" s="36"/>
      <c r="K5" s="36"/>
      <c r="L5" s="36"/>
      <c r="M5" s="36"/>
      <c r="N5" s="36"/>
      <c r="O5" s="266"/>
      <c r="P5" s="286" t="e">
        <f t="shared" ref="P5:P27" si="0">O5/$O$23</f>
        <v>#DIV/0!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1127</v>
      </c>
      <c r="F6" s="36"/>
      <c r="G6" s="36"/>
      <c r="H6" s="36"/>
      <c r="I6" s="36"/>
      <c r="J6" s="36"/>
      <c r="K6" s="36"/>
      <c r="L6" s="36"/>
      <c r="M6" s="36"/>
      <c r="N6" s="36"/>
      <c r="O6" s="266"/>
      <c r="P6" s="286" t="e">
        <f t="shared" si="0"/>
        <v>#DIV/0!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f>550+110</f>
        <v>660</v>
      </c>
      <c r="E7" s="36">
        <v>0</v>
      </c>
      <c r="F7" s="36"/>
      <c r="G7" s="36"/>
      <c r="H7" s="36"/>
      <c r="I7" s="36"/>
      <c r="J7" s="36"/>
      <c r="K7" s="36"/>
      <c r="L7" s="36"/>
      <c r="M7" s="36"/>
      <c r="N7" s="36"/>
      <c r="O7" s="266"/>
      <c r="P7" s="286" t="e">
        <f t="shared" si="0"/>
        <v>#DIV/0!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/>
      <c r="G8" s="36"/>
      <c r="H8" s="36"/>
      <c r="I8" s="36"/>
      <c r="J8" s="36"/>
      <c r="K8" s="36"/>
      <c r="L8" s="36"/>
      <c r="M8" s="36"/>
      <c r="N8" s="36"/>
      <c r="O8" s="266"/>
      <c r="P8" s="286" t="e">
        <f t="shared" si="0"/>
        <v>#DIV/0!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660</v>
      </c>
      <c r="E9" s="36">
        <v>0</v>
      </c>
      <c r="F9" s="36"/>
      <c r="G9" s="36"/>
      <c r="H9" s="36"/>
      <c r="I9" s="36"/>
      <c r="J9" s="36"/>
      <c r="K9" s="36"/>
      <c r="L9" s="36"/>
      <c r="M9" s="36"/>
      <c r="N9" s="36"/>
      <c r="O9" s="266"/>
      <c r="P9" s="286" t="e">
        <f t="shared" si="0"/>
        <v>#DIV/0!</v>
      </c>
    </row>
    <row r="10" spans="1:17" ht="17.25" customHeight="1" x14ac:dyDescent="0.2">
      <c r="A10" s="25">
        <v>6</v>
      </c>
      <c r="B10" s="26" t="s">
        <v>3</v>
      </c>
      <c r="C10" s="36">
        <f>115+700</f>
        <v>815</v>
      </c>
      <c r="D10" s="36">
        <v>550</v>
      </c>
      <c r="E10" s="36">
        <f>550+280+700</f>
        <v>1530</v>
      </c>
      <c r="F10" s="36"/>
      <c r="G10" s="36"/>
      <c r="H10" s="36"/>
      <c r="I10" s="36"/>
      <c r="J10" s="36"/>
      <c r="K10" s="36"/>
      <c r="L10" s="36"/>
      <c r="M10" s="36"/>
      <c r="N10" s="36"/>
      <c r="O10" s="266"/>
      <c r="P10" s="286" t="e">
        <f t="shared" si="0"/>
        <v>#DIV/0!</v>
      </c>
    </row>
    <row r="11" spans="1:17" ht="17.25" customHeight="1" x14ac:dyDescent="0.2">
      <c r="A11" s="25">
        <v>7</v>
      </c>
      <c r="B11" s="26" t="s">
        <v>4</v>
      </c>
      <c r="C11" s="36">
        <v>330</v>
      </c>
      <c r="D11" s="36">
        <v>220</v>
      </c>
      <c r="E11" s="36">
        <v>0</v>
      </c>
      <c r="F11" s="36"/>
      <c r="G11" s="36"/>
      <c r="H11" s="36"/>
      <c r="I11" s="36"/>
      <c r="J11" s="36"/>
      <c r="K11" s="36"/>
      <c r="L11" s="36"/>
      <c r="M11" s="36"/>
      <c r="N11" s="36"/>
      <c r="O11" s="266"/>
      <c r="P11" s="286" t="e">
        <f t="shared" si="0"/>
        <v>#DIV/0!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550</v>
      </c>
      <c r="E12" s="36">
        <f>550+330</f>
        <v>880</v>
      </c>
      <c r="F12" s="36"/>
      <c r="G12" s="36"/>
      <c r="H12" s="36"/>
      <c r="I12" s="36"/>
      <c r="J12" s="36"/>
      <c r="K12" s="36"/>
      <c r="L12" s="36"/>
      <c r="M12" s="36"/>
      <c r="N12" s="36"/>
      <c r="O12" s="266"/>
      <c r="P12" s="286" t="e">
        <f t="shared" si="0"/>
        <v>#DIV/0!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f>220+230</f>
        <v>450</v>
      </c>
      <c r="F13" s="36"/>
      <c r="G13" s="36"/>
      <c r="H13" s="36"/>
      <c r="I13" s="36"/>
      <c r="J13" s="36"/>
      <c r="K13" s="36"/>
      <c r="L13" s="36"/>
      <c r="M13" s="36"/>
      <c r="N13" s="36"/>
      <c r="O13" s="266"/>
      <c r="P13" s="286" t="e">
        <f t="shared" si="0"/>
        <v>#DIV/0!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550</v>
      </c>
      <c r="E14" s="36">
        <f>220+110</f>
        <v>330</v>
      </c>
      <c r="F14" s="36"/>
      <c r="G14" s="36"/>
      <c r="H14" s="36"/>
      <c r="I14" s="36"/>
      <c r="J14" s="36"/>
      <c r="K14" s="36"/>
      <c r="L14" s="36"/>
      <c r="M14" s="36"/>
      <c r="N14" s="36"/>
      <c r="O14" s="266"/>
      <c r="P14" s="286" t="e">
        <f t="shared" si="0"/>
        <v>#DIV/0!</v>
      </c>
    </row>
    <row r="15" spans="1:17" ht="17.25" customHeight="1" x14ac:dyDescent="0.2">
      <c r="A15" s="25">
        <v>12</v>
      </c>
      <c r="B15" s="26" t="s">
        <v>8</v>
      </c>
      <c r="C15" s="36">
        <f>1100+220+975</f>
        <v>2295</v>
      </c>
      <c r="D15" s="36">
        <v>550</v>
      </c>
      <c r="E15" s="36">
        <v>220</v>
      </c>
      <c r="F15" s="36"/>
      <c r="G15" s="36"/>
      <c r="H15" s="36"/>
      <c r="I15" s="36"/>
      <c r="J15" s="36"/>
      <c r="K15" s="36"/>
      <c r="L15" s="36"/>
      <c r="M15" s="36"/>
      <c r="N15" s="36"/>
      <c r="O15" s="266"/>
      <c r="P15" s="286" t="e">
        <f t="shared" si="0"/>
        <v>#DIV/0!</v>
      </c>
    </row>
    <row r="16" spans="1:17" ht="17.25" customHeight="1" x14ac:dyDescent="0.2">
      <c r="A16" s="25">
        <v>13</v>
      </c>
      <c r="B16" s="26" t="s">
        <v>9</v>
      </c>
      <c r="C16" s="36">
        <v>325</v>
      </c>
      <c r="D16" s="36">
        <v>0</v>
      </c>
      <c r="E16" s="36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266"/>
      <c r="P16" s="286" t="e">
        <f t="shared" si="0"/>
        <v>#DIV/0!</v>
      </c>
    </row>
    <row r="17" spans="1:17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>
        <f>220+1225+350</f>
        <v>1795</v>
      </c>
      <c r="F17" s="36"/>
      <c r="G17" s="36"/>
      <c r="H17" s="36"/>
      <c r="I17" s="36"/>
      <c r="J17" s="36"/>
      <c r="K17" s="36"/>
      <c r="L17" s="36"/>
      <c r="M17" s="36"/>
      <c r="N17" s="36"/>
      <c r="O17" s="266"/>
      <c r="P17" s="286" t="e">
        <f t="shared" si="0"/>
        <v>#DIV/0!</v>
      </c>
    </row>
    <row r="18" spans="1:17" ht="17.25" customHeight="1" x14ac:dyDescent="0.2">
      <c r="A18" s="25">
        <v>15</v>
      </c>
      <c r="B18" s="26" t="s">
        <v>11</v>
      </c>
      <c r="C18" s="36">
        <f>440+175+525+325</f>
        <v>1465</v>
      </c>
      <c r="D18" s="36">
        <v>0</v>
      </c>
      <c r="E18" s="36">
        <f>130+100</f>
        <v>230</v>
      </c>
      <c r="F18" s="36"/>
      <c r="G18" s="36"/>
      <c r="H18" s="36"/>
      <c r="I18" s="36"/>
      <c r="J18" s="36"/>
      <c r="K18" s="36"/>
      <c r="L18" s="36"/>
      <c r="M18" s="36"/>
      <c r="N18" s="36"/>
      <c r="O18" s="266"/>
      <c r="P18" s="286" t="e">
        <f t="shared" si="0"/>
        <v>#DIV/0!</v>
      </c>
    </row>
    <row r="19" spans="1:17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f>0</f>
        <v>0</v>
      </c>
      <c r="F19" s="36"/>
      <c r="G19" s="36"/>
      <c r="H19" s="36"/>
      <c r="I19" s="36"/>
      <c r="J19" s="36"/>
      <c r="K19" s="36"/>
      <c r="L19" s="36"/>
      <c r="M19" s="36"/>
      <c r="N19" s="36"/>
      <c r="O19" s="266"/>
      <c r="P19" s="286" t="e">
        <f t="shared" si="0"/>
        <v>#DIV/0!</v>
      </c>
    </row>
    <row r="20" spans="1:17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f>112+336</f>
        <v>448</v>
      </c>
      <c r="F20" s="36"/>
      <c r="G20" s="36"/>
      <c r="H20" s="36"/>
      <c r="I20" s="36"/>
      <c r="J20" s="36"/>
      <c r="K20" s="36"/>
      <c r="L20" s="36"/>
      <c r="M20" s="36"/>
      <c r="N20" s="36"/>
      <c r="O20" s="266"/>
      <c r="P20" s="286" t="e">
        <f t="shared" si="0"/>
        <v>#DIV/0!</v>
      </c>
    </row>
    <row r="21" spans="1:17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550</v>
      </c>
      <c r="F21" s="36"/>
      <c r="G21" s="36"/>
      <c r="H21" s="36"/>
      <c r="I21" s="36"/>
      <c r="J21" s="36"/>
      <c r="K21" s="36"/>
      <c r="L21" s="36"/>
      <c r="M21" s="36"/>
      <c r="N21" s="36"/>
      <c r="O21" s="266"/>
      <c r="P21" s="286" t="e">
        <f t="shared" si="0"/>
        <v>#DIV/0!</v>
      </c>
    </row>
    <row r="22" spans="1:17" ht="17.25" customHeight="1" x14ac:dyDescent="0.2">
      <c r="A22" s="25">
        <v>19</v>
      </c>
      <c r="B22" s="26" t="s">
        <v>15</v>
      </c>
      <c r="C22" s="36">
        <v>110</v>
      </c>
      <c r="D22" s="36">
        <f>110+112+700</f>
        <v>922</v>
      </c>
      <c r="E22" s="36"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266"/>
      <c r="P22" s="286" t="e">
        <f t="shared" si="0"/>
        <v>#DIV/0!</v>
      </c>
    </row>
    <row r="23" spans="1:17" s="48" customFormat="1" ht="17.25" customHeight="1" x14ac:dyDescent="0.2">
      <c r="A23" s="45">
        <v>5.486111111111111E-2</v>
      </c>
      <c r="B23" s="153" t="s">
        <v>22</v>
      </c>
      <c r="C23" s="42">
        <f>C22+C21+C20+C19+C18+C17+C16+C15+C14+C13+C12+C11+C10+C9+C8+C7+C6+C5</f>
        <v>6880</v>
      </c>
      <c r="D23" s="358">
        <f>D22+D21+D20+D19+D18+D17+D16+D15+D14+D13+D12+D11+D10+D9+D8+D7+D6+D5</f>
        <v>5887</v>
      </c>
      <c r="E23" s="42">
        <f>E21+E20+E18+E17+E14+E13+E12+E10+E6+E5+E15</f>
        <v>8110</v>
      </c>
      <c r="F23" s="42"/>
      <c r="G23" s="42"/>
      <c r="H23" s="42"/>
      <c r="I23" s="42"/>
      <c r="J23" s="42"/>
      <c r="K23" s="42"/>
      <c r="L23" s="42"/>
      <c r="M23" s="42"/>
      <c r="N23" s="42"/>
      <c r="O23" s="53"/>
      <c r="P23" s="287" t="e">
        <f t="shared" si="0"/>
        <v>#DIV/0!</v>
      </c>
    </row>
    <row r="24" spans="1:17" ht="17.25" customHeight="1" x14ac:dyDescent="0.2">
      <c r="A24" s="30">
        <v>20</v>
      </c>
      <c r="B24" s="31" t="s">
        <v>16</v>
      </c>
      <c r="C24" s="36">
        <v>550</v>
      </c>
      <c r="D24" s="36">
        <v>1100</v>
      </c>
      <c r="E24" s="36">
        <f>1100</f>
        <v>1100</v>
      </c>
      <c r="F24" s="36"/>
      <c r="G24" s="36"/>
      <c r="H24" s="36"/>
      <c r="I24" s="36"/>
      <c r="J24" s="36"/>
      <c r="K24" s="36"/>
      <c r="L24" s="36"/>
      <c r="M24" s="36"/>
      <c r="N24" s="36"/>
      <c r="O24" s="267"/>
      <c r="P24" s="286" t="e">
        <f t="shared" si="0"/>
        <v>#DIV/0!</v>
      </c>
    </row>
    <row r="25" spans="1:17" ht="17.25" customHeight="1" x14ac:dyDescent="0.2">
      <c r="A25" s="30">
        <v>21</v>
      </c>
      <c r="B25" s="26" t="s">
        <v>17</v>
      </c>
      <c r="C25" s="36">
        <v>0</v>
      </c>
      <c r="D25" s="36">
        <v>0</v>
      </c>
      <c r="E25" s="36">
        <v>0</v>
      </c>
      <c r="F25" s="36"/>
      <c r="G25" s="36"/>
      <c r="H25" s="36"/>
      <c r="I25" s="36"/>
      <c r="J25" s="36"/>
      <c r="K25" s="36"/>
      <c r="L25" s="36"/>
      <c r="M25" s="36"/>
      <c r="N25" s="36"/>
      <c r="O25" s="267"/>
      <c r="P25" s="286" t="e">
        <f t="shared" si="0"/>
        <v>#DIV/0!</v>
      </c>
    </row>
    <row r="26" spans="1:17" s="48" customFormat="1" ht="17.25" customHeight="1" x14ac:dyDescent="0.2">
      <c r="A26" s="49" t="s">
        <v>24</v>
      </c>
      <c r="B26" s="151" t="s">
        <v>23</v>
      </c>
      <c r="C26" s="41">
        <f>C24</f>
        <v>550</v>
      </c>
      <c r="D26" s="41">
        <f>D24</f>
        <v>1100</v>
      </c>
      <c r="E26" s="41">
        <v>0</v>
      </c>
      <c r="F26" s="41"/>
      <c r="G26" s="41"/>
      <c r="H26" s="41"/>
      <c r="I26" s="41"/>
      <c r="J26" s="41"/>
      <c r="K26" s="41"/>
      <c r="L26" s="41"/>
      <c r="M26" s="41"/>
      <c r="N26" s="41"/>
      <c r="O26" s="272"/>
      <c r="P26" s="288" t="e">
        <f t="shared" si="0"/>
        <v>#DIV/0!</v>
      </c>
    </row>
    <row r="27" spans="1:17" s="55" customFormat="1" ht="17.25" customHeight="1" x14ac:dyDescent="0.2">
      <c r="A27" s="202" t="s">
        <v>26</v>
      </c>
      <c r="B27" s="207" t="s">
        <v>25</v>
      </c>
      <c r="C27" s="278">
        <f>C23+C24</f>
        <v>7430</v>
      </c>
      <c r="D27" s="278">
        <f>D23+D24</f>
        <v>6987</v>
      </c>
      <c r="E27" s="278">
        <f>E23+E24</f>
        <v>9210</v>
      </c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89" t="e">
        <f t="shared" si="0"/>
        <v>#DIV/0!</v>
      </c>
    </row>
    <row r="28" spans="1:17" s="114" customFormat="1" ht="18" customHeight="1" x14ac:dyDescent="0.45">
      <c r="A28" s="62"/>
      <c r="B28" s="193"/>
      <c r="O28" s="166"/>
      <c r="P28" s="296"/>
    </row>
    <row r="29" spans="1:17" s="114" customFormat="1" ht="18" customHeight="1" x14ac:dyDescent="0.45">
      <c r="A29" s="62"/>
      <c r="B29" s="193"/>
      <c r="L29" s="365" t="s">
        <v>49</v>
      </c>
      <c r="M29" s="365"/>
      <c r="N29" s="365"/>
      <c r="O29" s="166"/>
      <c r="P29" s="296"/>
    </row>
    <row r="30" spans="1:17" s="114" customFormat="1" ht="18" customHeight="1" x14ac:dyDescent="0.45">
      <c r="A30" s="62"/>
      <c r="B30" s="193"/>
      <c r="G30" s="365" t="s">
        <v>79</v>
      </c>
      <c r="H30" s="365"/>
      <c r="I30" s="365"/>
      <c r="J30" s="15"/>
      <c r="K30" s="15"/>
      <c r="L30" s="365"/>
      <c r="M30" s="365"/>
      <c r="N30" s="365"/>
      <c r="O30" s="166"/>
      <c r="P30" s="296"/>
    </row>
    <row r="31" spans="1:17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7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  <c r="Q32" s="114">
        <v>0</v>
      </c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10" zoomScale="172" zoomScaleNormal="172" workbookViewId="0">
      <selection activeCell="E16" sqref="E16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59</v>
      </c>
      <c r="E1" s="9"/>
      <c r="F1" s="9"/>
      <c r="G1" s="9"/>
      <c r="H1" s="9"/>
      <c r="K1" s="10" t="str">
        <f>'2.3วสด.งานบ้าน'!K1</f>
        <v xml:space="preserve"> ปีงบประมาณ   2563</v>
      </c>
      <c r="L1" s="9"/>
      <c r="M1" s="9"/>
      <c r="N1" s="9"/>
      <c r="O1" s="161"/>
      <c r="P1" s="290"/>
      <c r="Q1" s="60"/>
    </row>
    <row r="2" spans="1:17" s="101" customFormat="1" ht="17.25" customHeight="1" x14ac:dyDescent="0.2">
      <c r="A2" s="247"/>
      <c r="B2" s="126"/>
      <c r="C2" s="126" t="str">
        <f>'[1]1.1.ยา(ทั่วไป)'!C2</f>
        <v>จาก ฝ่ายเภสัชกรรมชุมชน  โรงพยาบาลกุมภวาปี</v>
      </c>
      <c r="D2" s="241"/>
      <c r="F2" s="241"/>
      <c r="G2" s="241"/>
      <c r="I2" s="241"/>
      <c r="J2" s="241"/>
      <c r="K2" s="241"/>
      <c r="M2" s="242"/>
      <c r="N2" s="243" t="str">
        <f>'2.รวมวชย ทุกประเภท'!N2</f>
        <v>รายงานข้อมูลณ วันที่ 28/12/63</v>
      </c>
      <c r="O2" s="164"/>
      <c r="P2" s="290"/>
      <c r="Q2" s="248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f>1800+158</f>
        <v>1958</v>
      </c>
      <c r="D5" s="36">
        <f>2700+158+2700</f>
        <v>5558</v>
      </c>
      <c r="E5" s="36">
        <v>0</v>
      </c>
      <c r="F5" s="36"/>
      <c r="G5" s="36"/>
      <c r="H5" s="36"/>
      <c r="I5" s="36"/>
      <c r="J5" s="36"/>
      <c r="K5" s="36"/>
      <c r="L5" s="36"/>
      <c r="M5" s="36"/>
      <c r="N5" s="36"/>
      <c r="O5" s="266">
        <f>SUM(C5:N5)</f>
        <v>7516</v>
      </c>
      <c r="P5" s="286">
        <f t="shared" ref="P5:P27" si="0">O5/$O$23</f>
        <v>0.16894063701139608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158</v>
      </c>
      <c r="F6" s="36"/>
      <c r="G6" s="36"/>
      <c r="H6" s="36"/>
      <c r="I6" s="36"/>
      <c r="J6" s="36"/>
      <c r="K6" s="36"/>
      <c r="L6" s="36"/>
      <c r="M6" s="36"/>
      <c r="N6" s="36"/>
      <c r="O6" s="266">
        <f t="shared" ref="O6:O22" si="1">SUM(C6:N6)</f>
        <v>158</v>
      </c>
      <c r="P6" s="286">
        <f t="shared" si="0"/>
        <v>3.5514396817190766E-3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f>190+79</f>
        <v>269</v>
      </c>
      <c r="F7" s="36"/>
      <c r="G7" s="36"/>
      <c r="H7" s="36"/>
      <c r="I7" s="36"/>
      <c r="J7" s="36"/>
      <c r="K7" s="36"/>
      <c r="L7" s="36"/>
      <c r="M7" s="36"/>
      <c r="N7" s="36"/>
      <c r="O7" s="266">
        <f t="shared" si="1"/>
        <v>269</v>
      </c>
      <c r="P7" s="286">
        <f t="shared" si="0"/>
        <v>6.0464384454584283E-3</v>
      </c>
    </row>
    <row r="8" spans="1:17" ht="17.25" customHeight="1" x14ac:dyDescent="0.2">
      <c r="A8" s="25">
        <v>4</v>
      </c>
      <c r="B8" s="26" t="s">
        <v>21</v>
      </c>
      <c r="C8" s="36">
        <v>3600</v>
      </c>
      <c r="D8" s="36">
        <v>0</v>
      </c>
      <c r="E8" s="36">
        <f>1125+5400+790</f>
        <v>7315</v>
      </c>
      <c r="F8" s="36"/>
      <c r="G8" s="36"/>
      <c r="H8" s="36"/>
      <c r="I8" s="36"/>
      <c r="J8" s="36"/>
      <c r="K8" s="36"/>
      <c r="L8" s="36"/>
      <c r="M8" s="36"/>
      <c r="N8" s="36"/>
      <c r="O8" s="266">
        <f t="shared" si="1"/>
        <v>10915</v>
      </c>
      <c r="P8" s="286">
        <f t="shared" si="0"/>
        <v>0.2453415451010362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f>3600+750</f>
        <v>4350</v>
      </c>
      <c r="E9" s="36">
        <v>0</v>
      </c>
      <c r="F9" s="36"/>
      <c r="G9" s="36"/>
      <c r="H9" s="36"/>
      <c r="I9" s="36"/>
      <c r="J9" s="36"/>
      <c r="K9" s="36"/>
      <c r="L9" s="36"/>
      <c r="M9" s="36"/>
      <c r="N9" s="36"/>
      <c r="O9" s="266">
        <f t="shared" si="1"/>
        <v>4350</v>
      </c>
      <c r="P9" s="286">
        <f t="shared" si="0"/>
        <v>9.7776978578974577E-2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750</v>
      </c>
      <c r="E10" s="36">
        <v>75</v>
      </c>
      <c r="F10" s="36"/>
      <c r="G10" s="36"/>
      <c r="H10" s="36"/>
      <c r="I10" s="36"/>
      <c r="J10" s="36"/>
      <c r="K10" s="36"/>
      <c r="L10" s="36"/>
      <c r="M10" s="36"/>
      <c r="N10" s="36"/>
      <c r="O10" s="266">
        <f t="shared" si="1"/>
        <v>825</v>
      </c>
      <c r="P10" s="286">
        <f t="shared" si="0"/>
        <v>1.8543909730495179E-2</v>
      </c>
    </row>
    <row r="11" spans="1:17" ht="17.25" customHeight="1" x14ac:dyDescent="0.2">
      <c r="A11" s="25">
        <v>7</v>
      </c>
      <c r="B11" s="26" t="s">
        <v>4</v>
      </c>
      <c r="C11" s="36">
        <v>190</v>
      </c>
      <c r="D11" s="36">
        <v>0</v>
      </c>
      <c r="E11" s="36">
        <v>1958</v>
      </c>
      <c r="F11" s="36"/>
      <c r="G11" s="36"/>
      <c r="H11" s="36"/>
      <c r="I11" s="36"/>
      <c r="J11" s="36"/>
      <c r="K11" s="36"/>
      <c r="L11" s="36"/>
      <c r="M11" s="36"/>
      <c r="N11" s="36"/>
      <c r="O11" s="266">
        <f t="shared" si="1"/>
        <v>2148</v>
      </c>
      <c r="P11" s="286">
        <f t="shared" si="0"/>
        <v>4.8281597698307449E-2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>
        <f>316+79</f>
        <v>395</v>
      </c>
      <c r="F12" s="36"/>
      <c r="G12" s="36"/>
      <c r="H12" s="36"/>
      <c r="I12" s="36"/>
      <c r="J12" s="36"/>
      <c r="K12" s="36"/>
      <c r="L12" s="36"/>
      <c r="M12" s="36"/>
      <c r="N12" s="36"/>
      <c r="O12" s="266">
        <f t="shared" si="1"/>
        <v>395</v>
      </c>
      <c r="P12" s="286">
        <f t="shared" si="0"/>
        <v>8.8785992042976908E-3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v>0</v>
      </c>
      <c r="E13" s="36">
        <v>0</v>
      </c>
      <c r="F13" s="36"/>
      <c r="G13" s="36"/>
      <c r="H13" s="36"/>
      <c r="I13" s="36"/>
      <c r="J13" s="36"/>
      <c r="K13" s="36"/>
      <c r="L13" s="36"/>
      <c r="M13" s="36"/>
      <c r="N13" s="36"/>
      <c r="O13" s="266">
        <f t="shared" si="1"/>
        <v>0</v>
      </c>
      <c r="P13" s="286">
        <f t="shared" si="0"/>
        <v>0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v>1080</v>
      </c>
      <c r="E14" s="36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266">
        <f t="shared" si="1"/>
        <v>1080</v>
      </c>
      <c r="P14" s="286">
        <f t="shared" si="0"/>
        <v>2.4275663647193687E-2</v>
      </c>
    </row>
    <row r="15" spans="1:17" ht="17.25" customHeight="1" x14ac:dyDescent="0.2">
      <c r="A15" s="25">
        <v>11</v>
      </c>
      <c r="B15" s="26" t="s">
        <v>8</v>
      </c>
      <c r="C15" s="36">
        <v>0</v>
      </c>
      <c r="D15" s="36">
        <v>0</v>
      </c>
      <c r="E15" s="36">
        <f>638+1800</f>
        <v>2438</v>
      </c>
      <c r="F15" s="36"/>
      <c r="G15" s="36"/>
      <c r="H15" s="36"/>
      <c r="I15" s="36"/>
      <c r="J15" s="36"/>
      <c r="K15" s="36"/>
      <c r="L15" s="36"/>
      <c r="M15" s="36"/>
      <c r="N15" s="36"/>
      <c r="O15" s="266">
        <f t="shared" si="1"/>
        <v>2438</v>
      </c>
      <c r="P15" s="286">
        <f t="shared" si="0"/>
        <v>5.4800062936905751E-2</v>
      </c>
    </row>
    <row r="16" spans="1:17" ht="17.25" customHeight="1" x14ac:dyDescent="0.2">
      <c r="A16" s="25">
        <v>12</v>
      </c>
      <c r="B16" s="26" t="s">
        <v>9</v>
      </c>
      <c r="C16" s="36">
        <f>750+1185</f>
        <v>1935</v>
      </c>
      <c r="D16" s="36">
        <v>900</v>
      </c>
      <c r="E16" s="36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266">
        <f t="shared" si="1"/>
        <v>2835</v>
      </c>
      <c r="P16" s="286">
        <f t="shared" si="0"/>
        <v>6.3723617073883437E-2</v>
      </c>
    </row>
    <row r="17" spans="1:16" ht="17.25" customHeight="1" x14ac:dyDescent="0.2">
      <c r="A17" s="25">
        <v>13</v>
      </c>
      <c r="B17" s="26" t="s">
        <v>10</v>
      </c>
      <c r="C17" s="36">
        <v>900</v>
      </c>
      <c r="D17" s="36">
        <v>0</v>
      </c>
      <c r="E17" s="36"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266">
        <f t="shared" si="1"/>
        <v>900</v>
      </c>
      <c r="P17" s="286">
        <f t="shared" si="0"/>
        <v>2.0229719705994742E-2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>
        <v>190</v>
      </c>
      <c r="E18" s="36">
        <v>0</v>
      </c>
      <c r="F18" s="36"/>
      <c r="G18" s="36"/>
      <c r="H18" s="36"/>
      <c r="I18" s="36"/>
      <c r="J18" s="36"/>
      <c r="K18" s="36"/>
      <c r="L18" s="36"/>
      <c r="M18" s="36"/>
      <c r="N18" s="36"/>
      <c r="O18" s="266">
        <f t="shared" si="1"/>
        <v>190</v>
      </c>
      <c r="P18" s="286">
        <f t="shared" si="0"/>
        <v>4.2707186045988898E-3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0</v>
      </c>
      <c r="E19" s="36">
        <v>720</v>
      </c>
      <c r="F19" s="36"/>
      <c r="G19" s="36"/>
      <c r="H19" s="36"/>
      <c r="I19" s="36"/>
      <c r="J19" s="36"/>
      <c r="K19" s="36"/>
      <c r="L19" s="36"/>
      <c r="M19" s="36"/>
      <c r="N19" s="36"/>
      <c r="O19" s="266">
        <f t="shared" si="1"/>
        <v>720</v>
      </c>
      <c r="P19" s="286">
        <f t="shared" si="0"/>
        <v>1.6183775764795794E-2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v>3600</v>
      </c>
      <c r="E20" s="36">
        <v>0</v>
      </c>
      <c r="F20" s="36"/>
      <c r="G20" s="36"/>
      <c r="H20" s="36"/>
      <c r="I20" s="36"/>
      <c r="J20" s="36"/>
      <c r="K20" s="36"/>
      <c r="L20" s="36"/>
      <c r="M20" s="36"/>
      <c r="N20" s="36"/>
      <c r="O20" s="266">
        <f t="shared" si="1"/>
        <v>3600</v>
      </c>
      <c r="P20" s="286">
        <f t="shared" si="0"/>
        <v>8.0918878823978968E-2</v>
      </c>
    </row>
    <row r="21" spans="1:16" ht="17.25" customHeight="1" x14ac:dyDescent="0.2">
      <c r="A21" s="25">
        <v>17</v>
      </c>
      <c r="B21" s="26" t="s">
        <v>14</v>
      </c>
      <c r="C21" s="36">
        <f>1800+1800</f>
        <v>3600</v>
      </c>
      <c r="D21" s="36">
        <v>0</v>
      </c>
      <c r="E21" s="36">
        <v>2550</v>
      </c>
      <c r="F21" s="36"/>
      <c r="G21" s="36"/>
      <c r="H21" s="36"/>
      <c r="I21" s="36"/>
      <c r="J21" s="36"/>
      <c r="K21" s="36"/>
      <c r="L21" s="36"/>
      <c r="M21" s="36"/>
      <c r="N21" s="36"/>
      <c r="O21" s="266">
        <f t="shared" si="1"/>
        <v>6150</v>
      </c>
      <c r="P21" s="286">
        <f t="shared" si="0"/>
        <v>0.13823641799096406</v>
      </c>
    </row>
    <row r="22" spans="1:16" ht="17.25" customHeight="1" x14ac:dyDescent="0.2">
      <c r="A22" s="25">
        <v>18</v>
      </c>
      <c r="B22" s="26" t="s">
        <v>15</v>
      </c>
      <c r="C22" s="36">
        <v>0</v>
      </c>
      <c r="D22" s="36">
        <f>1800+750</f>
        <v>2550</v>
      </c>
      <c r="E22" s="36"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266">
        <f t="shared" si="1"/>
        <v>2550</v>
      </c>
      <c r="P22" s="286">
        <f t="shared" si="0"/>
        <v>5.73175391669851E-2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C21+C17+C16+C11+C8+C5</f>
        <v>12183</v>
      </c>
      <c r="D23" s="42">
        <f>D22+D21+D20+D19+D18+D17+D16+D15+D14+D13+D12+D11+D10+D9+D8+D7+D6+D5</f>
        <v>18978</v>
      </c>
      <c r="E23" s="42">
        <f>E19+E15+E12+E11+E10+E8+E7+E6</f>
        <v>13328</v>
      </c>
      <c r="F23" s="42"/>
      <c r="G23" s="42"/>
      <c r="H23" s="42"/>
      <c r="I23" s="42"/>
      <c r="J23" s="42"/>
      <c r="K23" s="42"/>
      <c r="L23" s="42"/>
      <c r="M23" s="42"/>
      <c r="N23" s="42"/>
      <c r="O23" s="54">
        <f t="shared" ref="O23:O27" si="2">SUM(C23:N23)</f>
        <v>44489</v>
      </c>
      <c r="P23" s="287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>
        <v>0</v>
      </c>
      <c r="E24" s="36">
        <v>190</v>
      </c>
      <c r="F24" s="36"/>
      <c r="G24" s="36"/>
      <c r="H24" s="36"/>
      <c r="I24" s="36"/>
      <c r="J24" s="36"/>
      <c r="K24" s="36"/>
      <c r="L24" s="36"/>
      <c r="M24" s="36"/>
      <c r="N24" s="36"/>
      <c r="O24" s="267">
        <f t="shared" si="2"/>
        <v>190</v>
      </c>
      <c r="P24" s="286">
        <f t="shared" si="0"/>
        <v>4.2707186045988898E-3</v>
      </c>
    </row>
    <row r="25" spans="1:16" ht="17.25" customHeight="1" x14ac:dyDescent="0.2">
      <c r="A25" s="30">
        <v>20</v>
      </c>
      <c r="B25" s="26" t="s">
        <v>17</v>
      </c>
      <c r="C25" s="36">
        <v>0</v>
      </c>
      <c r="D25" s="36">
        <v>0</v>
      </c>
      <c r="E25" s="36">
        <v>0</v>
      </c>
      <c r="F25" s="36"/>
      <c r="G25" s="36"/>
      <c r="H25" s="36"/>
      <c r="I25" s="36"/>
      <c r="J25" s="36"/>
      <c r="K25" s="36"/>
      <c r="L25" s="36"/>
      <c r="M25" s="36"/>
      <c r="N25" s="36"/>
      <c r="O25" s="267">
        <f t="shared" si="2"/>
        <v>0</v>
      </c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v>0</v>
      </c>
      <c r="D26" s="41">
        <v>0</v>
      </c>
      <c r="E26" s="41">
        <v>0</v>
      </c>
      <c r="F26" s="41"/>
      <c r="G26" s="41"/>
      <c r="H26" s="41"/>
      <c r="I26" s="41"/>
      <c r="J26" s="41"/>
      <c r="K26" s="41"/>
      <c r="L26" s="41"/>
      <c r="M26" s="41"/>
      <c r="N26" s="41"/>
      <c r="O26" s="272">
        <f t="shared" si="2"/>
        <v>0</v>
      </c>
      <c r="P26" s="288">
        <f t="shared" si="0"/>
        <v>0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C23</f>
        <v>12183</v>
      </c>
      <c r="D27" s="278">
        <f>D23+D24</f>
        <v>18978</v>
      </c>
      <c r="E27" s="278">
        <f>E23+E24</f>
        <v>13518</v>
      </c>
      <c r="F27" s="278"/>
      <c r="G27" s="278"/>
      <c r="H27" s="278"/>
      <c r="I27" s="278"/>
      <c r="J27" s="278"/>
      <c r="K27" s="278"/>
      <c r="L27" s="278"/>
      <c r="M27" s="278"/>
      <c r="N27" s="278"/>
      <c r="O27" s="279">
        <f t="shared" si="2"/>
        <v>44679</v>
      </c>
      <c r="P27" s="289">
        <f t="shared" si="0"/>
        <v>1.0042707186045989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5" t="s">
        <v>49</v>
      </c>
      <c r="M29" s="365"/>
      <c r="N29" s="365"/>
      <c r="O29" s="166"/>
      <c r="P29" s="296"/>
    </row>
    <row r="30" spans="1:16" s="114" customFormat="1" ht="18" customHeight="1" x14ac:dyDescent="0.45">
      <c r="A30" s="62"/>
      <c r="B30" s="193"/>
      <c r="G30" s="365" t="s">
        <v>79</v>
      </c>
      <c r="H30" s="365"/>
      <c r="I30" s="365"/>
      <c r="J30" s="15"/>
      <c r="K30" s="15"/>
      <c r="L30" s="365"/>
      <c r="M30" s="365"/>
      <c r="N30" s="365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6" zoomScale="154" zoomScaleNormal="154" workbookViewId="0">
      <selection activeCell="E28" sqref="E28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60</v>
      </c>
      <c r="E1" s="9"/>
      <c r="F1" s="9"/>
      <c r="G1" s="9"/>
      <c r="H1" s="9"/>
      <c r="K1" s="10" t="str">
        <f>'2.4วสด. LAB'!K1</f>
        <v xml:space="preserve"> ปีงบประมาณ   2563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28/12/63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0</v>
      </c>
      <c r="E5" s="36">
        <v>0</v>
      </c>
      <c r="F5" s="36"/>
      <c r="G5" s="36"/>
      <c r="H5" s="36"/>
      <c r="I5" s="36"/>
      <c r="J5" s="36"/>
      <c r="K5" s="36"/>
      <c r="L5" s="36"/>
      <c r="M5" s="36"/>
      <c r="N5" s="36"/>
      <c r="O5" s="266">
        <f>SUM(C5:N5)</f>
        <v>0</v>
      </c>
      <c r="P5" s="286">
        <f t="shared" ref="P5:P27" si="0">O5/$O$23</f>
        <v>0</v>
      </c>
    </row>
    <row r="6" spans="1:17" ht="17.25" customHeight="1" x14ac:dyDescent="0.2">
      <c r="A6" s="25">
        <v>2</v>
      </c>
      <c r="B6" s="26" t="s">
        <v>19</v>
      </c>
      <c r="C6" s="36">
        <v>1380.3</v>
      </c>
      <c r="D6" s="36">
        <v>0</v>
      </c>
      <c r="E6" s="36">
        <v>0</v>
      </c>
      <c r="F6" s="36"/>
      <c r="G6" s="36"/>
      <c r="H6" s="36"/>
      <c r="I6" s="36"/>
      <c r="J6" s="36"/>
      <c r="K6" s="36"/>
      <c r="L6" s="36"/>
      <c r="M6" s="36"/>
      <c r="N6" s="36"/>
      <c r="O6" s="266">
        <f t="shared" ref="O6:O22" si="1">SUM(C6:N6)</f>
        <v>1380.3</v>
      </c>
      <c r="P6" s="286">
        <f t="shared" si="0"/>
        <v>0.21158400588627532</v>
      </c>
    </row>
    <row r="7" spans="1:17" ht="17.25" customHeight="1" x14ac:dyDescent="0.2">
      <c r="A7" s="25">
        <v>3</v>
      </c>
      <c r="B7" s="26" t="s">
        <v>20</v>
      </c>
      <c r="C7" s="36">
        <f>1250+776</f>
        <v>2026</v>
      </c>
      <c r="D7" s="36">
        <v>0</v>
      </c>
      <c r="E7" s="36">
        <v>0</v>
      </c>
      <c r="F7" s="36"/>
      <c r="G7" s="36"/>
      <c r="H7" s="36"/>
      <c r="I7" s="36"/>
      <c r="J7" s="36"/>
      <c r="K7" s="36"/>
      <c r="L7" s="36"/>
      <c r="M7" s="36"/>
      <c r="N7" s="36"/>
      <c r="O7" s="266">
        <f t="shared" si="1"/>
        <v>2026</v>
      </c>
      <c r="P7" s="286">
        <f t="shared" si="0"/>
        <v>0.31056233856813287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/>
      <c r="G8" s="36"/>
      <c r="H8" s="36"/>
      <c r="I8" s="36"/>
      <c r="J8" s="36"/>
      <c r="K8" s="36"/>
      <c r="L8" s="36"/>
      <c r="M8" s="36"/>
      <c r="N8" s="36"/>
      <c r="O8" s="266">
        <f t="shared" si="1"/>
        <v>0</v>
      </c>
      <c r="P8" s="286">
        <f t="shared" si="0"/>
        <v>0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/>
      <c r="G9" s="36"/>
      <c r="H9" s="36"/>
      <c r="I9" s="36"/>
      <c r="J9" s="36"/>
      <c r="K9" s="36"/>
      <c r="L9" s="36"/>
      <c r="M9" s="36"/>
      <c r="N9" s="36"/>
      <c r="O9" s="266">
        <f t="shared" si="1"/>
        <v>0</v>
      </c>
      <c r="P9" s="286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/>
      <c r="G10" s="36"/>
      <c r="H10" s="36"/>
      <c r="I10" s="36"/>
      <c r="J10" s="36"/>
      <c r="K10" s="36"/>
      <c r="L10" s="36"/>
      <c r="M10" s="36"/>
      <c r="N10" s="36"/>
      <c r="O10" s="266">
        <f t="shared" si="1"/>
        <v>0</v>
      </c>
      <c r="P10" s="286">
        <f t="shared" si="0"/>
        <v>0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227</v>
      </c>
      <c r="F11" s="36"/>
      <c r="G11" s="36"/>
      <c r="H11" s="36"/>
      <c r="I11" s="36"/>
      <c r="J11" s="36"/>
      <c r="K11" s="36"/>
      <c r="L11" s="36"/>
      <c r="M11" s="36"/>
      <c r="N11" s="36"/>
      <c r="O11" s="266">
        <f t="shared" si="1"/>
        <v>227</v>
      </c>
      <c r="P11" s="286">
        <f t="shared" si="0"/>
        <v>3.4796471300575602E-2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>
        <v>227</v>
      </c>
      <c r="F12" s="36"/>
      <c r="G12" s="36"/>
      <c r="H12" s="36"/>
      <c r="I12" s="36"/>
      <c r="J12" s="36"/>
      <c r="K12" s="36"/>
      <c r="L12" s="36"/>
      <c r="M12" s="36"/>
      <c r="N12" s="36"/>
      <c r="O12" s="266">
        <f t="shared" si="1"/>
        <v>227</v>
      </c>
      <c r="P12" s="286">
        <f t="shared" si="0"/>
        <v>3.4796471300575602E-2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/>
      <c r="G13" s="36"/>
      <c r="H13" s="36"/>
      <c r="I13" s="36"/>
      <c r="J13" s="36"/>
      <c r="K13" s="36"/>
      <c r="L13" s="36"/>
      <c r="M13" s="36"/>
      <c r="N13" s="36"/>
      <c r="O13" s="266">
        <f t="shared" si="1"/>
        <v>0</v>
      </c>
      <c r="P13" s="286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266">
        <f t="shared" si="1"/>
        <v>0</v>
      </c>
      <c r="P14" s="286">
        <f t="shared" si="0"/>
        <v>0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266">
        <f t="shared" si="1"/>
        <v>0</v>
      </c>
      <c r="P15" s="286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266">
        <f t="shared" si="1"/>
        <v>0</v>
      </c>
      <c r="P16" s="286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266">
        <f t="shared" si="1"/>
        <v>0</v>
      </c>
      <c r="P17" s="286">
        <f t="shared" si="0"/>
        <v>0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/>
      <c r="G18" s="36"/>
      <c r="H18" s="36"/>
      <c r="I18" s="36"/>
      <c r="J18" s="36"/>
      <c r="K18" s="36"/>
      <c r="L18" s="36"/>
      <c r="M18" s="36"/>
      <c r="N18" s="36"/>
      <c r="O18" s="266">
        <f t="shared" si="1"/>
        <v>0</v>
      </c>
      <c r="P18" s="286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/>
      <c r="G19" s="36"/>
      <c r="H19" s="36"/>
      <c r="I19" s="36"/>
      <c r="J19" s="36"/>
      <c r="K19" s="36"/>
      <c r="L19" s="36"/>
      <c r="M19" s="36"/>
      <c r="N19" s="36"/>
      <c r="O19" s="266">
        <f t="shared" si="1"/>
        <v>0</v>
      </c>
      <c r="P19" s="286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/>
      <c r="G20" s="36"/>
      <c r="H20" s="36"/>
      <c r="I20" s="36"/>
      <c r="J20" s="36"/>
      <c r="K20" s="36"/>
      <c r="L20" s="36"/>
      <c r="M20" s="36"/>
      <c r="N20" s="36"/>
      <c r="O20" s="266">
        <f t="shared" si="1"/>
        <v>0</v>
      </c>
      <c r="P20" s="286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266">
        <f t="shared" si="1"/>
        <v>0</v>
      </c>
      <c r="P21" s="286">
        <f t="shared" si="0"/>
        <v>0</v>
      </c>
    </row>
    <row r="22" spans="1:16" ht="17.25" customHeight="1" x14ac:dyDescent="0.2">
      <c r="A22" s="25">
        <v>19</v>
      </c>
      <c r="B22" s="26" t="s">
        <v>15</v>
      </c>
      <c r="C22" s="36">
        <v>2663.35</v>
      </c>
      <c r="D22" s="36">
        <v>0</v>
      </c>
      <c r="E22" s="36"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266">
        <f t="shared" si="1"/>
        <v>2663.35</v>
      </c>
      <c r="P22" s="286">
        <f t="shared" si="0"/>
        <v>0.40826071294444061</v>
      </c>
    </row>
    <row r="23" spans="1:16" s="48" customFormat="1" ht="17.25" customHeight="1" x14ac:dyDescent="0.2">
      <c r="A23" s="45">
        <v>5.486111111111111E-2</v>
      </c>
      <c r="B23" s="153" t="s">
        <v>22</v>
      </c>
      <c r="C23" s="42">
        <f>C22+C7+C6</f>
        <v>6069.6500000000005</v>
      </c>
      <c r="D23" s="42">
        <v>0</v>
      </c>
      <c r="E23" s="42">
        <f>E12+E11</f>
        <v>454</v>
      </c>
      <c r="F23" s="42"/>
      <c r="G23" s="42"/>
      <c r="H23" s="42"/>
      <c r="I23" s="42"/>
      <c r="J23" s="42"/>
      <c r="K23" s="42"/>
      <c r="L23" s="42"/>
      <c r="M23" s="42"/>
      <c r="N23" s="42"/>
      <c r="O23" s="42">
        <f>SUM(O5:O22)</f>
        <v>6523.65</v>
      </c>
      <c r="P23" s="287">
        <f t="shared" si="0"/>
        <v>1</v>
      </c>
    </row>
    <row r="24" spans="1:16" ht="17.25" customHeight="1" x14ac:dyDescent="0.2">
      <c r="A24" s="30">
        <v>20</v>
      </c>
      <c r="B24" s="31" t="s">
        <v>16</v>
      </c>
      <c r="C24" s="36">
        <v>0</v>
      </c>
      <c r="D24" s="36">
        <v>0</v>
      </c>
      <c r="E24" s="36">
        <v>0</v>
      </c>
      <c r="F24" s="36"/>
      <c r="G24" s="36"/>
      <c r="H24" s="36"/>
      <c r="I24" s="36"/>
      <c r="J24" s="36"/>
      <c r="K24" s="36"/>
      <c r="L24" s="36"/>
      <c r="M24" s="36"/>
      <c r="N24" s="36"/>
      <c r="O24" s="266">
        <f>E24+H24</f>
        <v>0</v>
      </c>
      <c r="P24" s="286">
        <f t="shared" si="0"/>
        <v>0</v>
      </c>
    </row>
    <row r="25" spans="1:16" ht="17.25" customHeight="1" x14ac:dyDescent="0.2">
      <c r="A25" s="30">
        <v>21</v>
      </c>
      <c r="B25" s="26" t="s">
        <v>17</v>
      </c>
      <c r="C25" s="36">
        <v>0</v>
      </c>
      <c r="D25" s="36">
        <v>0</v>
      </c>
      <c r="E25" s="36">
        <v>0</v>
      </c>
      <c r="F25" s="36"/>
      <c r="G25" s="36"/>
      <c r="H25" s="36"/>
      <c r="I25" s="36"/>
      <c r="J25" s="36"/>
      <c r="K25" s="36"/>
      <c r="L25" s="36"/>
      <c r="M25" s="36"/>
      <c r="N25" s="36"/>
      <c r="O25" s="267"/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0</f>
        <v>0</v>
      </c>
      <c r="D26" s="41">
        <v>0</v>
      </c>
      <c r="E26" s="41">
        <f>0</f>
        <v>0</v>
      </c>
      <c r="F26" s="41"/>
      <c r="G26" s="41"/>
      <c r="H26" s="41"/>
      <c r="I26" s="41"/>
      <c r="J26" s="41"/>
      <c r="K26" s="41"/>
      <c r="L26" s="41"/>
      <c r="M26" s="41"/>
      <c r="N26" s="41"/>
      <c r="O26" s="271">
        <f>SUM(C26:N26)</f>
        <v>0</v>
      </c>
      <c r="P26" s="288">
        <f t="shared" si="0"/>
        <v>0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C23</f>
        <v>6069.6500000000005</v>
      </c>
      <c r="D27" s="278">
        <v>0</v>
      </c>
      <c r="E27" s="278">
        <f>E23</f>
        <v>454</v>
      </c>
      <c r="F27" s="278"/>
      <c r="G27" s="278"/>
      <c r="H27" s="278"/>
      <c r="I27" s="278"/>
      <c r="J27" s="278"/>
      <c r="K27" s="278"/>
      <c r="L27" s="278"/>
      <c r="M27" s="278"/>
      <c r="N27" s="278"/>
      <c r="O27" s="278">
        <f>SUM(C27:N27)</f>
        <v>6523.6500000000005</v>
      </c>
      <c r="P27" s="289">
        <f t="shared" si="0"/>
        <v>1.0000000000000002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5" t="s">
        <v>49</v>
      </c>
      <c r="M29" s="365"/>
      <c r="N29" s="365"/>
      <c r="O29" s="166"/>
      <c r="P29" s="296"/>
    </row>
    <row r="30" spans="1:16" s="114" customFormat="1" ht="18" customHeight="1" x14ac:dyDescent="0.45">
      <c r="A30" s="62"/>
      <c r="B30" s="193"/>
      <c r="G30" s="365" t="s">
        <v>79</v>
      </c>
      <c r="H30" s="365"/>
      <c r="I30" s="365"/>
      <c r="J30" s="15"/>
      <c r="K30" s="15"/>
      <c r="L30" s="365"/>
      <c r="M30" s="365"/>
      <c r="N30" s="365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6" zoomScale="154" zoomScaleNormal="154" workbookViewId="0">
      <selection activeCell="E28" sqref="E28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61</v>
      </c>
      <c r="E1" s="9"/>
      <c r="F1" s="9"/>
      <c r="G1" s="9"/>
      <c r="H1" s="9"/>
      <c r="K1" s="10" t="str">
        <f>'2.4วสด. LAB'!K1</f>
        <v xml:space="preserve"> ปีงบประมาณ   2563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28/12/63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f>72.5+72.5</f>
        <v>145</v>
      </c>
      <c r="D5" s="36">
        <v>0</v>
      </c>
      <c r="E5" s="36">
        <v>145</v>
      </c>
      <c r="F5" s="36"/>
      <c r="G5" s="36"/>
      <c r="H5" s="36"/>
      <c r="I5" s="36"/>
      <c r="J5" s="36"/>
      <c r="K5" s="36"/>
      <c r="L5" s="36"/>
      <c r="M5" s="36"/>
      <c r="N5" s="36"/>
      <c r="O5" s="266">
        <f>C5</f>
        <v>145</v>
      </c>
      <c r="P5" s="286">
        <f t="shared" ref="P5:P27" si="0">O5/$O$23</f>
        <v>0.5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0</v>
      </c>
      <c r="F6" s="36"/>
      <c r="G6" s="36"/>
      <c r="H6" s="36"/>
      <c r="I6" s="36"/>
      <c r="J6" s="36"/>
      <c r="K6" s="36"/>
      <c r="L6" s="36"/>
      <c r="M6" s="36"/>
      <c r="N6" s="36"/>
      <c r="O6" s="267">
        <v>0</v>
      </c>
      <c r="P6" s="286">
        <f t="shared" si="0"/>
        <v>0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v>0</v>
      </c>
      <c r="F7" s="36"/>
      <c r="G7" s="36"/>
      <c r="H7" s="36"/>
      <c r="I7" s="36"/>
      <c r="J7" s="36"/>
      <c r="K7" s="36"/>
      <c r="L7" s="36"/>
      <c r="M7" s="36"/>
      <c r="N7" s="36"/>
      <c r="O7" s="267">
        <v>0</v>
      </c>
      <c r="P7" s="286">
        <f t="shared" si="0"/>
        <v>0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/>
      <c r="G8" s="36"/>
      <c r="H8" s="36"/>
      <c r="I8" s="36"/>
      <c r="J8" s="36"/>
      <c r="K8" s="36"/>
      <c r="L8" s="36"/>
      <c r="M8" s="36"/>
      <c r="N8" s="36"/>
      <c r="O8" s="267">
        <v>0</v>
      </c>
      <c r="P8" s="286">
        <f t="shared" si="0"/>
        <v>0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/>
      <c r="G9" s="36"/>
      <c r="H9" s="36"/>
      <c r="I9" s="36"/>
      <c r="J9" s="36"/>
      <c r="K9" s="36"/>
      <c r="L9" s="36"/>
      <c r="M9" s="36"/>
      <c r="N9" s="36"/>
      <c r="O9" s="267">
        <v>0</v>
      </c>
      <c r="P9" s="286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/>
      <c r="G10" s="36"/>
      <c r="H10" s="36"/>
      <c r="I10" s="36"/>
      <c r="J10" s="36"/>
      <c r="K10" s="36"/>
      <c r="L10" s="36"/>
      <c r="M10" s="36"/>
      <c r="N10" s="36"/>
      <c r="O10" s="267">
        <v>0</v>
      </c>
      <c r="P10" s="286">
        <f t="shared" si="0"/>
        <v>0</v>
      </c>
    </row>
    <row r="11" spans="1:17" ht="17.25" customHeight="1" x14ac:dyDescent="0.2">
      <c r="A11" s="25">
        <v>7</v>
      </c>
      <c r="B11" s="26" t="s">
        <v>4</v>
      </c>
      <c r="C11" s="36">
        <v>145</v>
      </c>
      <c r="D11" s="36">
        <v>145</v>
      </c>
      <c r="E11" s="36">
        <v>0</v>
      </c>
      <c r="F11" s="36"/>
      <c r="G11" s="36"/>
      <c r="H11" s="36"/>
      <c r="I11" s="36"/>
      <c r="J11" s="36"/>
      <c r="K11" s="36"/>
      <c r="L11" s="36"/>
      <c r="M11" s="36"/>
      <c r="N11" s="36"/>
      <c r="O11" s="266">
        <f>C11</f>
        <v>145</v>
      </c>
      <c r="P11" s="286">
        <f t="shared" si="0"/>
        <v>0.5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267">
        <v>0</v>
      </c>
      <c r="P12" s="286">
        <f t="shared" si="0"/>
        <v>0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/>
      <c r="G13" s="36"/>
      <c r="H13" s="36"/>
      <c r="I13" s="36"/>
      <c r="J13" s="36"/>
      <c r="K13" s="36"/>
      <c r="L13" s="36"/>
      <c r="M13" s="36"/>
      <c r="N13" s="36"/>
      <c r="O13" s="267">
        <v>0</v>
      </c>
      <c r="P13" s="286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267">
        <v>0</v>
      </c>
      <c r="P14" s="286">
        <f t="shared" si="0"/>
        <v>0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267">
        <v>0</v>
      </c>
      <c r="P15" s="286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267">
        <v>0</v>
      </c>
      <c r="P16" s="286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267">
        <v>0</v>
      </c>
      <c r="P17" s="286">
        <f t="shared" si="0"/>
        <v>0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/>
      <c r="G18" s="36"/>
      <c r="H18" s="36"/>
      <c r="I18" s="36"/>
      <c r="J18" s="36"/>
      <c r="K18" s="36"/>
      <c r="L18" s="36"/>
      <c r="M18" s="36"/>
      <c r="N18" s="36"/>
      <c r="O18" s="267">
        <v>0</v>
      </c>
      <c r="P18" s="286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/>
      <c r="G19" s="36"/>
      <c r="H19" s="36"/>
      <c r="I19" s="36"/>
      <c r="J19" s="36"/>
      <c r="K19" s="36"/>
      <c r="L19" s="36"/>
      <c r="M19" s="36"/>
      <c r="N19" s="36"/>
      <c r="O19" s="267">
        <v>0</v>
      </c>
      <c r="P19" s="286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/>
      <c r="G20" s="36"/>
      <c r="H20" s="36"/>
      <c r="I20" s="36"/>
      <c r="J20" s="36"/>
      <c r="K20" s="36"/>
      <c r="L20" s="36"/>
      <c r="M20" s="36"/>
      <c r="N20" s="36"/>
      <c r="O20" s="267">
        <v>0</v>
      </c>
      <c r="P20" s="286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267">
        <v>0</v>
      </c>
      <c r="P21" s="286">
        <f t="shared" si="0"/>
        <v>0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267">
        <v>0</v>
      </c>
      <c r="P22" s="286">
        <f t="shared" si="0"/>
        <v>0</v>
      </c>
    </row>
    <row r="23" spans="1:16" s="48" customFormat="1" ht="17.25" customHeight="1" x14ac:dyDescent="0.2">
      <c r="A23" s="45">
        <v>5.486111111111111E-2</v>
      </c>
      <c r="B23" s="153" t="s">
        <v>22</v>
      </c>
      <c r="C23" s="42">
        <f>C5+C11</f>
        <v>290</v>
      </c>
      <c r="D23" s="42">
        <v>145</v>
      </c>
      <c r="E23" s="42">
        <f>E5</f>
        <v>145</v>
      </c>
      <c r="F23" s="42"/>
      <c r="G23" s="42"/>
      <c r="H23" s="42"/>
      <c r="I23" s="42"/>
      <c r="J23" s="42"/>
      <c r="K23" s="42"/>
      <c r="L23" s="42"/>
      <c r="M23" s="42"/>
      <c r="N23" s="42"/>
      <c r="O23" s="53">
        <f>C23</f>
        <v>290</v>
      </c>
      <c r="P23" s="287">
        <f t="shared" si="0"/>
        <v>1</v>
      </c>
    </row>
    <row r="24" spans="1:16" ht="17.25" customHeight="1" x14ac:dyDescent="0.2">
      <c r="A24" s="30">
        <v>20</v>
      </c>
      <c r="B24" s="31" t="s">
        <v>80</v>
      </c>
      <c r="C24" s="36">
        <v>72.5</v>
      </c>
      <c r="D24" s="36">
        <v>0</v>
      </c>
      <c r="E24" s="36">
        <v>0</v>
      </c>
      <c r="F24" s="36"/>
      <c r="G24" s="36"/>
      <c r="H24" s="36"/>
      <c r="I24" s="36"/>
      <c r="J24" s="36"/>
      <c r="K24" s="36"/>
      <c r="L24" s="36"/>
      <c r="M24" s="36"/>
      <c r="N24" s="36"/>
      <c r="O24" s="266">
        <f>C24</f>
        <v>72.5</v>
      </c>
      <c r="P24" s="286">
        <f t="shared" si="0"/>
        <v>0.25</v>
      </c>
    </row>
    <row r="25" spans="1:16" ht="17.25" customHeight="1" x14ac:dyDescent="0.2">
      <c r="A25" s="30">
        <v>21</v>
      </c>
      <c r="B25" s="26" t="s">
        <v>17</v>
      </c>
      <c r="C25" s="36">
        <v>0</v>
      </c>
      <c r="D25" s="36">
        <v>0</v>
      </c>
      <c r="E25" s="36">
        <v>0</v>
      </c>
      <c r="F25" s="36"/>
      <c r="G25" s="36"/>
      <c r="H25" s="36"/>
      <c r="I25" s="36"/>
      <c r="J25" s="36"/>
      <c r="K25" s="36"/>
      <c r="L25" s="36"/>
      <c r="M25" s="36"/>
      <c r="N25" s="36"/>
      <c r="O25" s="267">
        <v>0</v>
      </c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v>72.5</v>
      </c>
      <c r="D26" s="41">
        <v>0</v>
      </c>
      <c r="E26" s="41">
        <f>E23</f>
        <v>145</v>
      </c>
      <c r="F26" s="41"/>
      <c r="G26" s="41"/>
      <c r="H26" s="41"/>
      <c r="I26" s="41"/>
      <c r="J26" s="41"/>
      <c r="K26" s="41"/>
      <c r="L26" s="41"/>
      <c r="M26" s="41"/>
      <c r="N26" s="41"/>
      <c r="O26" s="271">
        <f>O24</f>
        <v>72.5</v>
      </c>
      <c r="P26" s="288">
        <f t="shared" si="0"/>
        <v>0.25</v>
      </c>
    </row>
    <row r="27" spans="1:16" s="55" customFormat="1" ht="17.25" customHeight="1" x14ac:dyDescent="0.2">
      <c r="A27" s="202" t="s">
        <v>26</v>
      </c>
      <c r="B27" s="207" t="s">
        <v>25</v>
      </c>
      <c r="C27" s="361">
        <f>C23+C24</f>
        <v>362.5</v>
      </c>
      <c r="D27" s="278">
        <v>145</v>
      </c>
      <c r="E27" s="278">
        <f>E23</f>
        <v>145</v>
      </c>
      <c r="F27" s="278"/>
      <c r="G27" s="278"/>
      <c r="H27" s="278"/>
      <c r="I27" s="278"/>
      <c r="J27" s="278"/>
      <c r="K27" s="278"/>
      <c r="L27" s="278"/>
      <c r="M27" s="278"/>
      <c r="N27" s="278"/>
      <c r="O27" s="278">
        <f>O23+O24</f>
        <v>362.5</v>
      </c>
      <c r="P27" s="289">
        <f t="shared" si="0"/>
        <v>1.25</v>
      </c>
    </row>
    <row r="28" spans="1:16" s="114" customFormat="1" ht="18" customHeight="1" x14ac:dyDescent="0.45">
      <c r="A28" s="62"/>
      <c r="B28" s="193"/>
      <c r="M28" s="114">
        <v>0</v>
      </c>
      <c r="O28" s="166"/>
      <c r="P28" s="296"/>
    </row>
    <row r="29" spans="1:16" s="114" customFormat="1" ht="18" customHeight="1" x14ac:dyDescent="0.45">
      <c r="A29" s="62"/>
      <c r="B29" s="193"/>
      <c r="L29" s="365" t="s">
        <v>49</v>
      </c>
      <c r="M29" s="365"/>
      <c r="N29" s="365"/>
      <c r="O29" s="166"/>
      <c r="P29" s="296"/>
    </row>
    <row r="30" spans="1:16" s="114" customFormat="1" ht="18" customHeight="1" x14ac:dyDescent="0.45">
      <c r="A30" s="62"/>
      <c r="B30" s="193"/>
      <c r="G30" s="365" t="s">
        <v>79</v>
      </c>
      <c r="H30" s="365"/>
      <c r="I30" s="365"/>
      <c r="J30" s="15"/>
      <c r="K30" s="15"/>
      <c r="L30" s="365"/>
      <c r="M30" s="365"/>
      <c r="N30" s="365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L29:N30"/>
    <mergeCell ref="G30:I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topLeftCell="A9" zoomScale="154" zoomScaleNormal="154" workbookViewId="0">
      <selection activeCell="E25" sqref="E25"/>
    </sheetView>
  </sheetViews>
  <sheetFormatPr defaultRowHeight="30.75" customHeight="1" x14ac:dyDescent="0.2"/>
  <cols>
    <col min="1" max="1" width="4.375" style="20" customWidth="1"/>
    <col min="2" max="2" width="15.125" style="20" customWidth="1"/>
    <col min="3" max="3" width="7.75" style="21" customWidth="1"/>
    <col min="4" max="14" width="7.75" style="22" customWidth="1"/>
    <col min="15" max="15" width="9.125" style="297" customWidth="1"/>
    <col min="16" max="16" width="9.875" style="331" customWidth="1"/>
    <col min="17" max="16384" width="9" style="20"/>
  </cols>
  <sheetData>
    <row r="1" spans="1:17" s="66" customFormat="1" ht="22.5" customHeight="1" x14ac:dyDescent="0.2">
      <c r="A1" s="65"/>
      <c r="C1" s="67"/>
      <c r="D1" s="68" t="s">
        <v>41</v>
      </c>
      <c r="E1" s="68"/>
      <c r="F1" s="68"/>
      <c r="G1" s="68"/>
      <c r="H1" s="68"/>
      <c r="I1" s="68"/>
      <c r="J1" s="68"/>
      <c r="K1" s="68" t="str">
        <f>สรุปยอด!C3</f>
        <v xml:space="preserve"> ปีงบประมาณ   2563</v>
      </c>
      <c r="L1" s="68"/>
      <c r="M1" s="68"/>
      <c r="N1" s="68"/>
      <c r="P1" s="328"/>
      <c r="Q1" s="69"/>
    </row>
    <row r="2" spans="1:17" s="66" customFormat="1" ht="22.5" customHeight="1" x14ac:dyDescent="0.2">
      <c r="A2" s="65"/>
      <c r="C2" s="67" t="str">
        <f>สรุปยอด!C2</f>
        <v>จากคลังยา    กลุ่มงานเภสัชกรรม     โรงพยาบาลกุมภวาปี</v>
      </c>
      <c r="D2" s="68"/>
      <c r="E2" s="68"/>
      <c r="F2" s="68"/>
      <c r="G2" s="68"/>
      <c r="H2" s="68"/>
      <c r="I2" s="68"/>
      <c r="J2" s="68"/>
      <c r="K2" s="68"/>
      <c r="L2" s="68"/>
      <c r="M2" s="70"/>
      <c r="N2" s="70" t="str">
        <f>สรุปยอด!D4</f>
        <v>รายงานข้อมูลณ วันที่ 28/12/63</v>
      </c>
      <c r="O2" s="71"/>
      <c r="P2" s="328"/>
      <c r="Q2" s="69"/>
    </row>
    <row r="3" spans="1:17" s="66" customFormat="1" ht="5.25" customHeight="1" x14ac:dyDescent="0.2">
      <c r="A3" s="65"/>
      <c r="C3" s="67"/>
      <c r="D3" s="68"/>
      <c r="E3" s="68"/>
      <c r="F3" s="68"/>
      <c r="G3" s="68"/>
      <c r="H3" s="68"/>
      <c r="I3" s="68"/>
      <c r="J3" s="68"/>
      <c r="K3" s="68"/>
      <c r="L3" s="68"/>
      <c r="M3" s="70"/>
      <c r="N3" s="70"/>
      <c r="O3" s="71"/>
      <c r="P3" s="328"/>
      <c r="Q3" s="69"/>
    </row>
    <row r="4" spans="1:17" s="75" customFormat="1" ht="17.25" customHeight="1" x14ac:dyDescent="0.2">
      <c r="A4" s="72" t="s">
        <v>0</v>
      </c>
      <c r="B4" s="73" t="s">
        <v>1</v>
      </c>
      <c r="C4" s="74" t="s">
        <v>27</v>
      </c>
      <c r="D4" s="73" t="s">
        <v>28</v>
      </c>
      <c r="E4" s="73" t="s">
        <v>29</v>
      </c>
      <c r="F4" s="73" t="s">
        <v>30</v>
      </c>
      <c r="G4" s="73" t="s">
        <v>31</v>
      </c>
      <c r="H4" s="73" t="s">
        <v>32</v>
      </c>
      <c r="I4" s="73" t="s">
        <v>33</v>
      </c>
      <c r="J4" s="73" t="s">
        <v>34</v>
      </c>
      <c r="K4" s="73" t="s">
        <v>35</v>
      </c>
      <c r="L4" s="73" t="s">
        <v>36</v>
      </c>
      <c r="M4" s="73" t="s">
        <v>37</v>
      </c>
      <c r="N4" s="73" t="s">
        <v>38</v>
      </c>
      <c r="O4" s="77" t="s">
        <v>39</v>
      </c>
      <c r="P4" s="329" t="e">
        <f>E5=ช</f>
        <v>#NAME?</v>
      </c>
    </row>
    <row r="5" spans="1:17" s="27" customFormat="1" ht="18" customHeight="1" x14ac:dyDescent="0.2">
      <c r="A5" s="25">
        <v>1</v>
      </c>
      <c r="B5" s="26" t="s">
        <v>18</v>
      </c>
      <c r="C5" s="35">
        <f>31664.72+1904.34</f>
        <v>33569.06</v>
      </c>
      <c r="D5" s="36">
        <f>2075+13111.76+6963.32</f>
        <v>22150.080000000002</v>
      </c>
      <c r="E5" s="36">
        <v>26802.3</v>
      </c>
      <c r="F5" s="36"/>
      <c r="G5" s="36"/>
      <c r="H5" s="36"/>
      <c r="I5" s="36"/>
      <c r="J5" s="36"/>
      <c r="K5" s="36"/>
      <c r="L5" s="36"/>
      <c r="M5" s="36"/>
      <c r="N5" s="36"/>
      <c r="O5" s="266">
        <f>SUM(C5:N5)</f>
        <v>82521.440000000002</v>
      </c>
      <c r="P5" s="286">
        <f t="shared" ref="P5:P27" si="0">O5/$O$23</f>
        <v>0.16413849005089876</v>
      </c>
    </row>
    <row r="6" spans="1:17" s="27" customFormat="1" ht="18" customHeight="1" x14ac:dyDescent="0.2">
      <c r="A6" s="25">
        <v>2</v>
      </c>
      <c r="B6" s="28" t="s">
        <v>19</v>
      </c>
      <c r="C6" s="35">
        <v>10387.1</v>
      </c>
      <c r="D6" s="36">
        <f>10557.65</f>
        <v>10557.65</v>
      </c>
      <c r="E6" s="36">
        <v>13795.7</v>
      </c>
      <c r="F6" s="36"/>
      <c r="G6" s="36"/>
      <c r="H6" s="36"/>
      <c r="I6" s="36"/>
      <c r="J6" s="36"/>
      <c r="K6" s="36"/>
      <c r="L6" s="36"/>
      <c r="M6" s="36"/>
      <c r="N6" s="36"/>
      <c r="O6" s="266">
        <f t="shared" ref="O6:O22" si="1">SUM(C6:N6)</f>
        <v>34740.449999999997</v>
      </c>
      <c r="P6" s="286">
        <f t="shared" si="0"/>
        <v>6.9100163626431454E-2</v>
      </c>
    </row>
    <row r="7" spans="1:17" s="27" customFormat="1" ht="18" customHeight="1" x14ac:dyDescent="0.2">
      <c r="A7" s="25">
        <v>3</v>
      </c>
      <c r="B7" s="28" t="s">
        <v>20</v>
      </c>
      <c r="C7" s="35">
        <f>6037+3368.44</f>
        <v>9405.44</v>
      </c>
      <c r="D7" s="36">
        <v>5576.27</v>
      </c>
      <c r="E7" s="36">
        <v>1400</v>
      </c>
      <c r="F7" s="36"/>
      <c r="G7" s="36"/>
      <c r="H7" s="36"/>
      <c r="I7" s="36"/>
      <c r="J7" s="36"/>
      <c r="K7" s="36"/>
      <c r="L7" s="36"/>
      <c r="M7" s="36"/>
      <c r="N7" s="36"/>
      <c r="O7" s="266">
        <f t="shared" si="1"/>
        <v>16381.710000000001</v>
      </c>
      <c r="P7" s="286">
        <f t="shared" si="0"/>
        <v>3.2583885398166937E-2</v>
      </c>
    </row>
    <row r="8" spans="1:17" s="27" customFormat="1" ht="18" customHeight="1" x14ac:dyDescent="0.2">
      <c r="A8" s="25">
        <v>4</v>
      </c>
      <c r="B8" s="28" t="s">
        <v>21</v>
      </c>
      <c r="C8" s="35">
        <v>0</v>
      </c>
      <c r="D8" s="36">
        <f>23815.47+192.6</f>
        <v>24008.07</v>
      </c>
      <c r="E8" s="36">
        <f>18734.8</f>
        <v>18734.8</v>
      </c>
      <c r="F8" s="36"/>
      <c r="G8" s="36"/>
      <c r="H8" s="36"/>
      <c r="I8" s="36"/>
      <c r="J8" s="36"/>
      <c r="K8" s="36"/>
      <c r="L8" s="36"/>
      <c r="M8" s="36"/>
      <c r="N8" s="36"/>
      <c r="O8" s="266">
        <f t="shared" si="1"/>
        <v>42742.869999999995</v>
      </c>
      <c r="P8" s="286">
        <f t="shared" si="0"/>
        <v>8.5017301470282858E-2</v>
      </c>
    </row>
    <row r="9" spans="1:17" s="27" customFormat="1" ht="18" customHeight="1" x14ac:dyDescent="0.2">
      <c r="A9" s="25">
        <v>5</v>
      </c>
      <c r="B9" s="28" t="s">
        <v>2</v>
      </c>
      <c r="C9" s="35">
        <v>3089.12</v>
      </c>
      <c r="D9" s="36">
        <f>4709+6019.66</f>
        <v>10728.66</v>
      </c>
      <c r="E9" s="36">
        <v>1627.68</v>
      </c>
      <c r="F9" s="36"/>
      <c r="G9" s="36"/>
      <c r="H9" s="36"/>
      <c r="I9" s="36"/>
      <c r="J9" s="36"/>
      <c r="K9" s="36"/>
      <c r="L9" s="36"/>
      <c r="M9" s="36"/>
      <c r="N9" s="36"/>
      <c r="O9" s="266">
        <f t="shared" si="1"/>
        <v>15445.46</v>
      </c>
      <c r="P9" s="286">
        <f t="shared" si="0"/>
        <v>3.0721646187240003E-2</v>
      </c>
    </row>
    <row r="10" spans="1:17" s="27" customFormat="1" ht="18" customHeight="1" x14ac:dyDescent="0.2">
      <c r="A10" s="25">
        <v>6</v>
      </c>
      <c r="B10" s="28" t="s">
        <v>3</v>
      </c>
      <c r="C10" s="35">
        <v>7896.29</v>
      </c>
      <c r="D10" s="36">
        <f>15536.9</f>
        <v>15536.9</v>
      </c>
      <c r="E10" s="36">
        <f>2084+500</f>
        <v>2584</v>
      </c>
      <c r="F10" s="36"/>
      <c r="G10" s="36"/>
      <c r="H10" s="36"/>
      <c r="I10" s="36"/>
      <c r="J10" s="36"/>
      <c r="K10" s="36"/>
      <c r="L10" s="36"/>
      <c r="M10" s="36"/>
      <c r="N10" s="36"/>
      <c r="O10" s="266">
        <f t="shared" si="1"/>
        <v>26017.19</v>
      </c>
      <c r="P10" s="286">
        <f t="shared" si="0"/>
        <v>5.1749245795605879E-2</v>
      </c>
    </row>
    <row r="11" spans="1:17" s="27" customFormat="1" ht="18" customHeight="1" x14ac:dyDescent="0.2">
      <c r="A11" s="25">
        <v>7</v>
      </c>
      <c r="B11" s="28" t="s">
        <v>4</v>
      </c>
      <c r="C11" s="35">
        <v>3899</v>
      </c>
      <c r="D11" s="36">
        <f>12505.26</f>
        <v>12505.26</v>
      </c>
      <c r="E11" s="36">
        <f>5781.63+810+6655</f>
        <v>13246.630000000001</v>
      </c>
      <c r="F11" s="36"/>
      <c r="G11" s="36"/>
      <c r="H11" s="36"/>
      <c r="I11" s="36"/>
      <c r="J11" s="36"/>
      <c r="K11" s="36"/>
      <c r="L11" s="36"/>
      <c r="M11" s="36"/>
      <c r="N11" s="36"/>
      <c r="O11" s="266">
        <f t="shared" si="1"/>
        <v>29650.890000000003</v>
      </c>
      <c r="P11" s="286">
        <f t="shared" si="0"/>
        <v>5.8976822426575377E-2</v>
      </c>
    </row>
    <row r="12" spans="1:17" s="27" customFormat="1" ht="18" customHeight="1" x14ac:dyDescent="0.2">
      <c r="A12" s="25">
        <v>8</v>
      </c>
      <c r="B12" s="28" t="s">
        <v>5</v>
      </c>
      <c r="C12" s="35">
        <v>3018</v>
      </c>
      <c r="D12" s="36">
        <f>9155.85+8369.88+1240</f>
        <v>18765.73</v>
      </c>
      <c r="E12" s="36">
        <f>3359+111.28+6573.59+2800</f>
        <v>12843.87</v>
      </c>
      <c r="F12" s="36"/>
      <c r="G12" s="36"/>
      <c r="H12" s="36"/>
      <c r="I12" s="36"/>
      <c r="J12" s="36"/>
      <c r="K12" s="36"/>
      <c r="L12" s="36"/>
      <c r="M12" s="36"/>
      <c r="N12" s="36"/>
      <c r="O12" s="266">
        <f t="shared" si="1"/>
        <v>34627.599999999999</v>
      </c>
      <c r="P12" s="286">
        <f t="shared" si="0"/>
        <v>6.8875700400847367E-2</v>
      </c>
    </row>
    <row r="13" spans="1:17" s="27" customFormat="1" ht="18" customHeight="1" x14ac:dyDescent="0.2">
      <c r="A13" s="25">
        <v>9</v>
      </c>
      <c r="B13" s="28" t="s">
        <v>6</v>
      </c>
      <c r="C13" s="35">
        <v>496</v>
      </c>
      <c r="D13" s="36">
        <f>9599.44+7626.99</f>
        <v>17226.43</v>
      </c>
      <c r="E13" s="36">
        <f>4490.66+500</f>
        <v>4990.66</v>
      </c>
      <c r="F13" s="36"/>
      <c r="G13" s="36"/>
      <c r="H13" s="36"/>
      <c r="I13" s="36"/>
      <c r="J13" s="36"/>
      <c r="K13" s="36"/>
      <c r="L13" s="36"/>
      <c r="M13" s="36"/>
      <c r="N13" s="36"/>
      <c r="O13" s="266">
        <f t="shared" si="1"/>
        <v>22713.09</v>
      </c>
      <c r="P13" s="286">
        <f t="shared" si="0"/>
        <v>4.5177256928504501E-2</v>
      </c>
    </row>
    <row r="14" spans="1:17" s="27" customFormat="1" ht="18" customHeight="1" x14ac:dyDescent="0.2">
      <c r="A14" s="25">
        <v>10</v>
      </c>
      <c r="B14" s="28" t="s">
        <v>7</v>
      </c>
      <c r="C14" s="35">
        <v>0</v>
      </c>
      <c r="D14" s="36">
        <f>12492.97+6060.6</f>
        <v>18553.57</v>
      </c>
      <c r="E14" s="36">
        <f>2686.43+150</f>
        <v>2836.43</v>
      </c>
      <c r="F14" s="36"/>
      <c r="G14" s="36"/>
      <c r="H14" s="36"/>
      <c r="I14" s="36"/>
      <c r="J14" s="36"/>
      <c r="K14" s="36"/>
      <c r="L14" s="36"/>
      <c r="M14" s="36"/>
      <c r="N14" s="36"/>
      <c r="O14" s="266">
        <f t="shared" si="1"/>
        <v>21390</v>
      </c>
      <c r="P14" s="286">
        <f t="shared" si="0"/>
        <v>4.2545577272872656E-2</v>
      </c>
    </row>
    <row r="15" spans="1:17" s="27" customFormat="1" ht="18" customHeight="1" x14ac:dyDescent="0.2">
      <c r="A15" s="25">
        <v>11</v>
      </c>
      <c r="B15" s="28" t="s">
        <v>8</v>
      </c>
      <c r="C15" s="35">
        <v>4062.94</v>
      </c>
      <c r="D15" s="36">
        <f>9449.98</f>
        <v>9449.98</v>
      </c>
      <c r="E15" s="36">
        <f>4629.65+480</f>
        <v>5109.6499999999996</v>
      </c>
      <c r="F15" s="36"/>
      <c r="G15" s="36"/>
      <c r="H15" s="36"/>
      <c r="I15" s="36"/>
      <c r="J15" s="36"/>
      <c r="K15" s="36"/>
      <c r="L15" s="36"/>
      <c r="M15" s="36"/>
      <c r="N15" s="36"/>
      <c r="O15" s="266">
        <f t="shared" si="1"/>
        <v>18622.57</v>
      </c>
      <c r="P15" s="286">
        <f t="shared" si="0"/>
        <v>3.7041046795440867E-2</v>
      </c>
    </row>
    <row r="16" spans="1:17" s="27" customFormat="1" ht="18" customHeight="1" x14ac:dyDescent="0.2">
      <c r="A16" s="25">
        <v>12</v>
      </c>
      <c r="B16" s="28" t="s">
        <v>9</v>
      </c>
      <c r="C16" s="35">
        <f>5822+668.04</f>
        <v>6490.04</v>
      </c>
      <c r="D16" s="36">
        <v>5466.89</v>
      </c>
      <c r="E16" s="36">
        <v>3099</v>
      </c>
      <c r="F16" s="36"/>
      <c r="G16" s="36"/>
      <c r="H16" s="36"/>
      <c r="I16" s="36"/>
      <c r="J16" s="36"/>
      <c r="K16" s="36"/>
      <c r="L16" s="36"/>
      <c r="M16" s="36"/>
      <c r="N16" s="36"/>
      <c r="O16" s="266">
        <f t="shared" si="1"/>
        <v>15055.93</v>
      </c>
      <c r="P16" s="286">
        <f t="shared" si="0"/>
        <v>2.9946855223467118E-2</v>
      </c>
    </row>
    <row r="17" spans="1:16" s="27" customFormat="1" ht="18" customHeight="1" x14ac:dyDescent="0.2">
      <c r="A17" s="25">
        <v>13</v>
      </c>
      <c r="B17" s="28" t="s">
        <v>81</v>
      </c>
      <c r="C17" s="35">
        <f>6198.24+2152</f>
        <v>8350.24</v>
      </c>
      <c r="D17" s="36">
        <f>6015.95+2594.9</f>
        <v>8610.85</v>
      </c>
      <c r="E17" s="36">
        <f>8127.02+200</f>
        <v>8327.02</v>
      </c>
      <c r="F17" s="36"/>
      <c r="G17" s="36"/>
      <c r="H17" s="36"/>
      <c r="I17" s="36"/>
      <c r="J17" s="36"/>
      <c r="K17" s="36"/>
      <c r="L17" s="36"/>
      <c r="M17" s="36"/>
      <c r="N17" s="36"/>
      <c r="O17" s="266">
        <f t="shared" si="1"/>
        <v>25288.11</v>
      </c>
      <c r="P17" s="286">
        <f t="shared" si="0"/>
        <v>5.0299076114535005E-2</v>
      </c>
    </row>
    <row r="18" spans="1:16" s="27" customFormat="1" ht="18" customHeight="1" x14ac:dyDescent="0.2">
      <c r="A18" s="25">
        <v>14</v>
      </c>
      <c r="B18" s="28" t="s">
        <v>11</v>
      </c>
      <c r="C18" s="35">
        <f>7431.66</f>
        <v>7431.66</v>
      </c>
      <c r="D18" s="36">
        <v>4553.1899999999996</v>
      </c>
      <c r="E18" s="36">
        <f>508.66+532.6+642+1040</f>
        <v>2723.26</v>
      </c>
      <c r="F18" s="36"/>
      <c r="G18" s="36"/>
      <c r="H18" s="36"/>
      <c r="I18" s="36"/>
      <c r="J18" s="36"/>
      <c r="K18" s="36"/>
      <c r="L18" s="36"/>
      <c r="M18" s="36"/>
      <c r="N18" s="36"/>
      <c r="O18" s="266">
        <f t="shared" si="1"/>
        <v>14708.109999999999</v>
      </c>
      <c r="P18" s="286">
        <f t="shared" si="0"/>
        <v>2.9255027140856055E-2</v>
      </c>
    </row>
    <row r="19" spans="1:16" s="27" customFormat="1" ht="18" customHeight="1" x14ac:dyDescent="0.2">
      <c r="A19" s="25">
        <v>15</v>
      </c>
      <c r="B19" s="28" t="s">
        <v>12</v>
      </c>
      <c r="C19" s="35">
        <v>9580</v>
      </c>
      <c r="D19" s="36">
        <f>18386.25</f>
        <v>18386.25</v>
      </c>
      <c r="E19" s="36">
        <f>3088.04+17</f>
        <v>3105.04</v>
      </c>
      <c r="F19" s="36"/>
      <c r="G19" s="36"/>
      <c r="H19" s="36"/>
      <c r="I19" s="36"/>
      <c r="J19" s="36"/>
      <c r="K19" s="36"/>
      <c r="L19" s="36"/>
      <c r="M19" s="36"/>
      <c r="N19" s="36"/>
      <c r="O19" s="266">
        <f t="shared" si="1"/>
        <v>31071.29</v>
      </c>
      <c r="P19" s="286">
        <f t="shared" si="0"/>
        <v>6.180205561771087E-2</v>
      </c>
    </row>
    <row r="20" spans="1:16" s="27" customFormat="1" ht="18" customHeight="1" x14ac:dyDescent="0.2">
      <c r="A20" s="25">
        <v>16</v>
      </c>
      <c r="B20" s="29" t="s">
        <v>13</v>
      </c>
      <c r="C20" s="35">
        <v>0</v>
      </c>
      <c r="D20" s="36">
        <f>15012.57</f>
        <v>15012.57</v>
      </c>
      <c r="E20" s="36">
        <f>8470.05</f>
        <v>8470.0499999999993</v>
      </c>
      <c r="F20" s="36"/>
      <c r="G20" s="36"/>
      <c r="H20" s="36"/>
      <c r="I20" s="36"/>
      <c r="J20" s="36"/>
      <c r="K20" s="36"/>
      <c r="L20" s="36"/>
      <c r="M20" s="36"/>
      <c r="N20" s="36"/>
      <c r="O20" s="266">
        <f t="shared" si="1"/>
        <v>23482.62</v>
      </c>
      <c r="P20" s="286">
        <f t="shared" si="0"/>
        <v>4.6707883299649595E-2</v>
      </c>
    </row>
    <row r="21" spans="1:16" s="27" customFormat="1" ht="18" customHeight="1" x14ac:dyDescent="0.2">
      <c r="A21" s="25">
        <v>17</v>
      </c>
      <c r="B21" s="28" t="s">
        <v>14</v>
      </c>
      <c r="C21" s="35">
        <f>8132+2027.66</f>
        <v>10159.66</v>
      </c>
      <c r="D21" s="36">
        <v>10370.379999999999</v>
      </c>
      <c r="E21" s="36">
        <v>8015.5</v>
      </c>
      <c r="F21" s="36"/>
      <c r="G21" s="36"/>
      <c r="H21" s="36"/>
      <c r="I21" s="36"/>
      <c r="J21" s="36"/>
      <c r="K21" s="36"/>
      <c r="L21" s="36"/>
      <c r="M21" s="36"/>
      <c r="N21" s="36"/>
      <c r="O21" s="266">
        <f t="shared" si="1"/>
        <v>28545.54</v>
      </c>
      <c r="P21" s="286">
        <f t="shared" si="0"/>
        <v>5.6778236459367804E-2</v>
      </c>
    </row>
    <row r="22" spans="1:16" s="27" customFormat="1" ht="18" customHeight="1" x14ac:dyDescent="0.2">
      <c r="A22" s="25">
        <v>18</v>
      </c>
      <c r="B22" s="28" t="s">
        <v>15</v>
      </c>
      <c r="C22" s="35">
        <v>4363</v>
      </c>
      <c r="D22" s="36">
        <f>3172+12215.09</f>
        <v>15387.09</v>
      </c>
      <c r="E22" s="36"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266">
        <f t="shared" si="1"/>
        <v>19750.09</v>
      </c>
      <c r="P22" s="286">
        <f t="shared" si="0"/>
        <v>3.9283729791546963E-2</v>
      </c>
    </row>
    <row r="23" spans="1:16" s="133" customFormat="1" ht="21.75" customHeight="1" x14ac:dyDescent="0.2">
      <c r="A23" s="45">
        <v>5.4166666666666669E-2</v>
      </c>
      <c r="B23" s="131" t="s">
        <v>22</v>
      </c>
      <c r="C23" s="132">
        <f>C22+C21+C20+C19+C18+C17+C16+C15+C14+C13+C12+C11+C10+C9+C8+C7+C6+C5</f>
        <v>122197.55</v>
      </c>
      <c r="D23" s="132">
        <f>D22+D21+D20+D19+D18+D17+D16+D15+D14+D13+D12+D11+D10+D9+D8+D7+D6+D5</f>
        <v>242845.82</v>
      </c>
      <c r="E23" s="132">
        <f>E22+E21+E20+E19+E18+E17+E16+E15+E14+E13+E12+E11+E10+E9+E8+E7+E6+E5</f>
        <v>137711.59</v>
      </c>
      <c r="F23" s="132"/>
      <c r="G23" s="132"/>
      <c r="H23" s="132"/>
      <c r="I23" s="132"/>
      <c r="J23" s="132"/>
      <c r="K23" s="132"/>
      <c r="L23" s="132"/>
      <c r="M23" s="132"/>
      <c r="N23" s="360"/>
      <c r="O23" s="132">
        <f>SUM(O5:O22)</f>
        <v>502754.95999999996</v>
      </c>
      <c r="P23" s="287">
        <f t="shared" si="0"/>
        <v>1</v>
      </c>
    </row>
    <row r="24" spans="1:16" s="27" customFormat="1" ht="18" customHeight="1" x14ac:dyDescent="0.2">
      <c r="A24" s="30">
        <v>19</v>
      </c>
      <c r="B24" s="31" t="s">
        <v>16</v>
      </c>
      <c r="C24" s="35">
        <v>23408.81</v>
      </c>
      <c r="D24" s="36">
        <f>15855.72</f>
        <v>15855.72</v>
      </c>
      <c r="E24" s="36">
        <f>34383.65+2055+247+1300+8252+1739.68+34010.08+4000</f>
        <v>85987.41</v>
      </c>
      <c r="F24" s="36"/>
      <c r="G24" s="36"/>
      <c r="H24" s="36"/>
      <c r="I24" s="36"/>
      <c r="J24" s="36"/>
      <c r="K24" s="36"/>
      <c r="L24" s="36"/>
      <c r="M24" s="36"/>
      <c r="N24" s="36"/>
      <c r="O24" s="266">
        <f t="shared" ref="O24:O27" si="2">SUM(C24:N24)</f>
        <v>125251.94</v>
      </c>
      <c r="P24" s="286">
        <f t="shared" si="0"/>
        <v>0.24913118708963111</v>
      </c>
    </row>
    <row r="25" spans="1:16" s="27" customFormat="1" ht="18" customHeight="1" x14ac:dyDescent="0.2">
      <c r="A25" s="30">
        <v>20</v>
      </c>
      <c r="B25" s="28" t="s">
        <v>17</v>
      </c>
      <c r="C25" s="35">
        <v>0</v>
      </c>
      <c r="D25" s="36">
        <v>0</v>
      </c>
      <c r="E25" s="36">
        <v>0</v>
      </c>
      <c r="F25" s="36"/>
      <c r="G25" s="36"/>
      <c r="H25" s="36"/>
      <c r="I25" s="36"/>
      <c r="J25" s="36"/>
      <c r="K25" s="36"/>
      <c r="L25" s="36"/>
      <c r="M25" s="36"/>
      <c r="N25" s="36"/>
      <c r="O25" s="266">
        <f t="shared" si="2"/>
        <v>0</v>
      </c>
      <c r="P25" s="286">
        <f t="shared" si="0"/>
        <v>0</v>
      </c>
    </row>
    <row r="26" spans="1:16" s="133" customFormat="1" ht="19.5" customHeight="1" x14ac:dyDescent="0.2">
      <c r="A26" s="49" t="s">
        <v>54</v>
      </c>
      <c r="B26" s="135" t="s">
        <v>23</v>
      </c>
      <c r="C26" s="136">
        <f>C24</f>
        <v>23408.81</v>
      </c>
      <c r="D26" s="137">
        <f>D24</f>
        <v>15855.72</v>
      </c>
      <c r="E26" s="137">
        <f>E24</f>
        <v>85987.41</v>
      </c>
      <c r="F26" s="137"/>
      <c r="G26" s="137"/>
      <c r="H26" s="137"/>
      <c r="I26" s="137"/>
      <c r="J26" s="137"/>
      <c r="K26" s="137"/>
      <c r="L26" s="137"/>
      <c r="M26" s="137"/>
      <c r="N26" s="137"/>
      <c r="O26" s="271">
        <f t="shared" si="2"/>
        <v>125251.94</v>
      </c>
      <c r="P26" s="288">
        <f t="shared" si="0"/>
        <v>0.24913118708963111</v>
      </c>
    </row>
    <row r="27" spans="1:16" s="134" customFormat="1" ht="20.25" customHeight="1" x14ac:dyDescent="0.2">
      <c r="A27" s="155" t="s">
        <v>66</v>
      </c>
      <c r="B27" s="156" t="s">
        <v>25</v>
      </c>
      <c r="C27" s="157">
        <f>C24+C23</f>
        <v>145606.36000000002</v>
      </c>
      <c r="D27" s="158">
        <f>D24+D23</f>
        <v>258701.54</v>
      </c>
      <c r="E27" s="158">
        <f>E24+E23</f>
        <v>223699</v>
      </c>
      <c r="F27" s="158"/>
      <c r="G27" s="158"/>
      <c r="H27" s="158"/>
      <c r="I27" s="158"/>
      <c r="J27" s="158"/>
      <c r="K27" s="357"/>
      <c r="L27" s="158"/>
      <c r="M27" s="158"/>
      <c r="N27" s="158"/>
      <c r="O27" s="158">
        <f t="shared" si="2"/>
        <v>628006.9</v>
      </c>
      <c r="P27" s="330">
        <f t="shared" si="0"/>
        <v>1.2491311870896313</v>
      </c>
    </row>
    <row r="28" spans="1:16" ht="14.25" customHeight="1" x14ac:dyDescent="0.2"/>
    <row r="29" spans="1:16" ht="14.25" customHeight="1" x14ac:dyDescent="0.2"/>
    <row r="30" spans="1:16" s="38" customFormat="1" ht="18.75" customHeight="1" x14ac:dyDescent="0.2">
      <c r="C30" s="39"/>
      <c r="F30" s="3"/>
      <c r="G30" s="3" t="s">
        <v>70</v>
      </c>
      <c r="H30" s="3"/>
      <c r="I30" s="3"/>
      <c r="J30" s="3"/>
      <c r="K30" s="3"/>
      <c r="L30" s="3" t="s">
        <v>49</v>
      </c>
      <c r="M30" s="8"/>
      <c r="O30" s="298"/>
      <c r="P30" s="332"/>
    </row>
    <row r="31" spans="1:16" s="38" customFormat="1" ht="18.75" customHeight="1" x14ac:dyDescent="0.2">
      <c r="C31" s="39"/>
      <c r="F31" s="3"/>
      <c r="G31" s="3" t="s">
        <v>50</v>
      </c>
      <c r="H31" s="3"/>
      <c r="I31" s="3"/>
      <c r="J31" s="3"/>
      <c r="K31" s="3"/>
      <c r="L31" s="3" t="s">
        <v>51</v>
      </c>
      <c r="M31" s="8"/>
      <c r="O31" s="298"/>
      <c r="P31" s="332"/>
    </row>
    <row r="32" spans="1:16" s="38" customFormat="1" ht="19.5" customHeight="1" x14ac:dyDescent="0.2">
      <c r="C32" s="39"/>
      <c r="F32" s="3"/>
      <c r="G32" s="3" t="s">
        <v>52</v>
      </c>
      <c r="H32" s="3"/>
      <c r="I32" s="3"/>
      <c r="J32" s="3"/>
      <c r="K32" s="3"/>
      <c r="L32" s="3" t="s">
        <v>53</v>
      </c>
      <c r="M32" s="8"/>
      <c r="O32" s="298"/>
      <c r="P32" s="332"/>
    </row>
    <row r="33" spans="6:13" ht="19.5" customHeight="1" x14ac:dyDescent="0.2">
      <c r="F33" s="23"/>
      <c r="G33" s="23"/>
      <c r="H33" s="23"/>
      <c r="I33" s="23"/>
      <c r="J33" s="23"/>
      <c r="K33" s="23"/>
      <c r="L33" s="23"/>
      <c r="M33" s="24"/>
    </row>
    <row r="34" spans="6:13" ht="19.5" customHeight="1" x14ac:dyDescent="0.2"/>
    <row r="35" spans="6:13" ht="19.5" customHeight="1" x14ac:dyDescent="0.2"/>
    <row r="36" spans="6:13" ht="19.5" customHeight="1" x14ac:dyDescent="0.2"/>
    <row r="37" spans="6:13" ht="19.5" customHeight="1" x14ac:dyDescent="0.2"/>
    <row r="38" spans="6:13" ht="19.5" customHeight="1" x14ac:dyDescent="0.2"/>
    <row r="39" spans="6:13" ht="19.5" customHeight="1" x14ac:dyDescent="0.2"/>
    <row r="40" spans="6:13" ht="19.5" customHeight="1" x14ac:dyDescent="0.2"/>
    <row r="41" spans="6:13" ht="19.5" customHeight="1" x14ac:dyDescent="0.2"/>
    <row r="42" spans="6:13" ht="19.5" customHeight="1" x14ac:dyDescent="0.2"/>
    <row r="43" spans="6:13" ht="19.5" customHeight="1" x14ac:dyDescent="0.2"/>
    <row r="44" spans="6:13" ht="19.5" customHeight="1" x14ac:dyDescent="0.2"/>
    <row r="45" spans="6:13" ht="19.5" customHeight="1" x14ac:dyDescent="0.2"/>
    <row r="46" spans="6:13" ht="19.5" customHeight="1" x14ac:dyDescent="0.2"/>
    <row r="47" spans="6:13" ht="19.5" customHeight="1" x14ac:dyDescent="0.2"/>
    <row r="48" spans="6:13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</sheetData>
  <printOptions horizontalCentered="1"/>
  <pageMargins left="0" right="0" top="0.74803149606299213" bottom="0.35433070866141736" header="0.11811023622047245" footer="0.11811023622047245"/>
  <pageSetup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workbookViewId="0">
      <selection activeCell="C5" sqref="C5:J26"/>
    </sheetView>
  </sheetViews>
  <sheetFormatPr defaultRowHeight="17.25" customHeight="1" x14ac:dyDescent="0.2"/>
  <cols>
    <col min="1" max="1" width="5.125" style="27" customWidth="1"/>
    <col min="2" max="2" width="16.125" style="27" customWidth="1"/>
    <col min="3" max="14" width="8.625" style="27" customWidth="1"/>
    <col min="15" max="15" width="8.625" style="293" customWidth="1"/>
    <col min="16" max="16" width="12.625" style="323" customWidth="1"/>
    <col min="17" max="16384" width="9" style="27"/>
  </cols>
  <sheetData>
    <row r="1" spans="1:17" s="11" customFormat="1" ht="17.25" customHeight="1" x14ac:dyDescent="0.2">
      <c r="A1" s="100"/>
      <c r="B1" s="101"/>
      <c r="C1" s="9"/>
      <c r="D1" s="10" t="s">
        <v>62</v>
      </c>
      <c r="E1" s="9"/>
      <c r="F1" s="9"/>
      <c r="G1" s="9"/>
      <c r="H1" s="9"/>
      <c r="K1" s="10" t="str">
        <f>สรุปยอด!C3</f>
        <v xml:space="preserve"> ปีงบประมาณ   2563</v>
      </c>
      <c r="L1" s="9"/>
      <c r="M1" s="9"/>
      <c r="N1" s="9"/>
      <c r="O1" s="161"/>
      <c r="P1" s="315"/>
      <c r="Q1" s="60"/>
    </row>
    <row r="2" spans="1:17" s="11" customFormat="1" ht="17.25" customHeight="1" x14ac:dyDescent="0.2">
      <c r="A2" s="100"/>
      <c r="B2" s="101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สรุปยอด!D4</f>
        <v>รายงานข้อมูลณ วันที่ 28/12/63</v>
      </c>
      <c r="O2" s="164"/>
      <c r="P2" s="315"/>
      <c r="Q2" s="60"/>
    </row>
    <row r="3" spans="1:17" s="11" customFormat="1" ht="17.25" customHeight="1" x14ac:dyDescent="0.2">
      <c r="A3" s="100"/>
      <c r="B3" s="101"/>
      <c r="C3" s="10"/>
      <c r="D3" s="9"/>
      <c r="F3" s="9"/>
      <c r="G3" s="9"/>
      <c r="I3" s="9"/>
      <c r="J3" s="9"/>
      <c r="K3" s="9"/>
      <c r="M3" s="12"/>
      <c r="N3" s="13"/>
      <c r="O3" s="164"/>
      <c r="P3" s="315"/>
      <c r="Q3" s="60"/>
    </row>
    <row r="4" spans="1:17" ht="17.25" customHeight="1" x14ac:dyDescent="0.2">
      <c r="A4" s="25" t="s">
        <v>0</v>
      </c>
      <c r="B4" s="63" t="s">
        <v>1</v>
      </c>
      <c r="C4" s="64" t="s">
        <v>27</v>
      </c>
      <c r="D4" s="64" t="s">
        <v>28</v>
      </c>
      <c r="E4" s="64" t="s">
        <v>29</v>
      </c>
      <c r="F4" s="64" t="s">
        <v>30</v>
      </c>
      <c r="G4" s="64" t="s">
        <v>31</v>
      </c>
      <c r="H4" s="64" t="s">
        <v>32</v>
      </c>
      <c r="I4" s="64" t="s">
        <v>33</v>
      </c>
      <c r="J4" s="64" t="s">
        <v>34</v>
      </c>
      <c r="K4" s="64" t="s">
        <v>35</v>
      </c>
      <c r="L4" s="64" t="s">
        <v>36</v>
      </c>
      <c r="M4" s="64" t="s">
        <v>37</v>
      </c>
      <c r="N4" s="64" t="s">
        <v>38</v>
      </c>
      <c r="O4" s="168" t="s">
        <v>39</v>
      </c>
      <c r="P4" s="345" t="s">
        <v>40</v>
      </c>
    </row>
    <row r="5" spans="1:17" ht="17.25" customHeight="1" x14ac:dyDescent="0.2">
      <c r="A5" s="25">
        <v>1</v>
      </c>
      <c r="B5" s="26" t="s">
        <v>18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66"/>
      <c r="P5" s="286" t="e">
        <f t="shared" ref="P5:P27" si="0">O5/$O$23</f>
        <v>#DIV/0!</v>
      </c>
    </row>
    <row r="6" spans="1:17" ht="17.25" customHeight="1" x14ac:dyDescent="0.2">
      <c r="A6" s="25">
        <v>2</v>
      </c>
      <c r="B6" s="28" t="s">
        <v>19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66"/>
      <c r="P6" s="286" t="e">
        <f t="shared" si="0"/>
        <v>#DIV/0!</v>
      </c>
    </row>
    <row r="7" spans="1:17" ht="17.25" customHeight="1" x14ac:dyDescent="0.2">
      <c r="A7" s="25">
        <v>3</v>
      </c>
      <c r="B7" s="28" t="s">
        <v>20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66"/>
      <c r="P7" s="286" t="e">
        <f t="shared" si="0"/>
        <v>#DIV/0!</v>
      </c>
    </row>
    <row r="8" spans="1:17" ht="17.25" customHeight="1" x14ac:dyDescent="0.2">
      <c r="A8" s="25">
        <v>4</v>
      </c>
      <c r="B8" s="28" t="s">
        <v>21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266"/>
      <c r="P8" s="286" t="e">
        <f t="shared" si="0"/>
        <v>#DIV/0!</v>
      </c>
    </row>
    <row r="9" spans="1:17" ht="17.25" customHeight="1" x14ac:dyDescent="0.2">
      <c r="A9" s="25">
        <v>5</v>
      </c>
      <c r="B9" s="28" t="s">
        <v>2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266"/>
      <c r="P9" s="286" t="e">
        <f t="shared" si="0"/>
        <v>#DIV/0!</v>
      </c>
    </row>
    <row r="10" spans="1:17" ht="17.25" customHeight="1" x14ac:dyDescent="0.2">
      <c r="A10" s="25">
        <v>6</v>
      </c>
      <c r="B10" s="28" t="s">
        <v>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66"/>
      <c r="P10" s="286" t="e">
        <f t="shared" si="0"/>
        <v>#DIV/0!</v>
      </c>
    </row>
    <row r="11" spans="1:17" ht="17.25" customHeight="1" x14ac:dyDescent="0.2">
      <c r="A11" s="25">
        <v>7</v>
      </c>
      <c r="B11" s="28" t="s">
        <v>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66"/>
      <c r="P11" s="286" t="e">
        <f t="shared" si="0"/>
        <v>#DIV/0!</v>
      </c>
    </row>
    <row r="12" spans="1:17" ht="17.25" customHeight="1" x14ac:dyDescent="0.2">
      <c r="A12" s="25">
        <v>8</v>
      </c>
      <c r="B12" s="28" t="s">
        <v>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66"/>
      <c r="P12" s="286" t="e">
        <f t="shared" si="0"/>
        <v>#DIV/0!</v>
      </c>
    </row>
    <row r="13" spans="1:17" ht="17.25" customHeight="1" x14ac:dyDescent="0.2">
      <c r="A13" s="25">
        <v>9</v>
      </c>
      <c r="B13" s="28" t="s">
        <v>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66"/>
      <c r="P13" s="286" t="e">
        <f t="shared" si="0"/>
        <v>#DIV/0!</v>
      </c>
    </row>
    <row r="14" spans="1:17" ht="17.25" customHeight="1" x14ac:dyDescent="0.2">
      <c r="A14" s="25">
        <v>10</v>
      </c>
      <c r="B14" s="28" t="s">
        <v>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66"/>
      <c r="P14" s="286" t="e">
        <f t="shared" si="0"/>
        <v>#DIV/0!</v>
      </c>
    </row>
    <row r="15" spans="1:17" ht="17.25" customHeight="1" x14ac:dyDescent="0.2">
      <c r="A15" s="25">
        <v>11</v>
      </c>
      <c r="B15" s="28" t="s">
        <v>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66"/>
      <c r="P15" s="286" t="e">
        <f t="shared" si="0"/>
        <v>#DIV/0!</v>
      </c>
    </row>
    <row r="16" spans="1:17" ht="17.25" customHeight="1" x14ac:dyDescent="0.2">
      <c r="A16" s="25">
        <v>12</v>
      </c>
      <c r="B16" s="28" t="s">
        <v>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66"/>
      <c r="P16" s="286" t="e">
        <f t="shared" si="0"/>
        <v>#DIV/0!</v>
      </c>
    </row>
    <row r="17" spans="1:16" ht="17.25" customHeight="1" x14ac:dyDescent="0.2">
      <c r="A17" s="25">
        <v>13</v>
      </c>
      <c r="B17" s="28" t="s">
        <v>10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66"/>
      <c r="P17" s="286" t="e">
        <f t="shared" si="0"/>
        <v>#DIV/0!</v>
      </c>
    </row>
    <row r="18" spans="1:16" ht="17.25" customHeight="1" x14ac:dyDescent="0.2">
      <c r="A18" s="25">
        <v>14</v>
      </c>
      <c r="B18" s="28" t="s">
        <v>11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66"/>
      <c r="P18" s="286" t="e">
        <f t="shared" si="0"/>
        <v>#DIV/0!</v>
      </c>
    </row>
    <row r="19" spans="1:16" ht="17.25" customHeight="1" x14ac:dyDescent="0.2">
      <c r="A19" s="25">
        <v>15</v>
      </c>
      <c r="B19" s="28" t="s">
        <v>12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66"/>
      <c r="P19" s="286" t="e">
        <f t="shared" si="0"/>
        <v>#DIV/0!</v>
      </c>
    </row>
    <row r="20" spans="1:16" ht="17.25" customHeight="1" x14ac:dyDescent="0.2">
      <c r="A20" s="25">
        <v>16</v>
      </c>
      <c r="B20" s="29" t="s">
        <v>13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66"/>
      <c r="P20" s="286" t="e">
        <f t="shared" si="0"/>
        <v>#DIV/0!</v>
      </c>
    </row>
    <row r="21" spans="1:16" ht="17.25" customHeight="1" x14ac:dyDescent="0.2">
      <c r="A21" s="25">
        <v>17</v>
      </c>
      <c r="B21" s="28" t="s">
        <v>14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66"/>
      <c r="P21" s="286" t="e">
        <f t="shared" si="0"/>
        <v>#DIV/0!</v>
      </c>
    </row>
    <row r="22" spans="1:16" ht="17.25" customHeight="1" x14ac:dyDescent="0.2">
      <c r="A22" s="25">
        <v>18</v>
      </c>
      <c r="B22" s="28" t="s">
        <v>15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66"/>
      <c r="P22" s="286" t="e">
        <f t="shared" si="0"/>
        <v>#DIV/0!</v>
      </c>
    </row>
    <row r="23" spans="1:16" ht="17.25" customHeight="1" x14ac:dyDescent="0.2">
      <c r="A23" s="32" t="s">
        <v>65</v>
      </c>
      <c r="B23" s="33" t="s">
        <v>22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46" t="e">
        <f t="shared" si="0"/>
        <v>#DIV/0!</v>
      </c>
    </row>
    <row r="24" spans="1:16" s="349" customFormat="1" ht="17.25" customHeight="1" x14ac:dyDescent="0.2">
      <c r="A24" s="30">
        <v>19</v>
      </c>
      <c r="B24" s="31" t="s">
        <v>16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8"/>
      <c r="P24" s="333" t="e">
        <f t="shared" si="0"/>
        <v>#DIV/0!</v>
      </c>
    </row>
    <row r="25" spans="1:16" s="349" customFormat="1" ht="17.25" customHeight="1" x14ac:dyDescent="0.2">
      <c r="A25" s="30">
        <v>20</v>
      </c>
      <c r="B25" s="28" t="s">
        <v>17</v>
      </c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8"/>
      <c r="P25" s="333" t="e">
        <f t="shared" si="0"/>
        <v>#DIV/0!</v>
      </c>
    </row>
    <row r="26" spans="1:16" ht="17.25" customHeight="1" x14ac:dyDescent="0.2">
      <c r="A26" s="43" t="s">
        <v>54</v>
      </c>
      <c r="B26" s="44" t="s">
        <v>23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271"/>
      <c r="P26" s="350" t="e">
        <f t="shared" si="0"/>
        <v>#DIV/0!</v>
      </c>
    </row>
    <row r="27" spans="1:16" s="353" customFormat="1" ht="17.25" customHeight="1" x14ac:dyDescent="0.2">
      <c r="A27" s="202" t="s">
        <v>66</v>
      </c>
      <c r="B27" s="216" t="s">
        <v>25</v>
      </c>
      <c r="C27" s="351"/>
      <c r="D27" s="351"/>
      <c r="E27" s="351"/>
      <c r="F27" s="351">
        <v>0</v>
      </c>
      <c r="G27" s="351">
        <v>0</v>
      </c>
      <c r="H27" s="351"/>
      <c r="I27" s="351"/>
      <c r="J27" s="351"/>
      <c r="K27" s="351"/>
      <c r="L27" s="351"/>
      <c r="M27" s="351"/>
      <c r="N27" s="351"/>
      <c r="O27" s="278"/>
      <c r="P27" s="352" t="e">
        <f t="shared" si="0"/>
        <v>#DIV/0!</v>
      </c>
    </row>
    <row r="30" spans="1:16" ht="17.25" customHeight="1" x14ac:dyDescent="0.2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2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opLeftCell="B9" zoomScale="154" zoomScaleNormal="154" workbookViewId="0">
      <selection activeCell="E28" sqref="E28"/>
    </sheetView>
  </sheetViews>
  <sheetFormatPr defaultColWidth="7.5" defaultRowHeight="18.75" customHeight="1" x14ac:dyDescent="0.5"/>
  <cols>
    <col min="1" max="1" width="4.75" style="1" customWidth="1"/>
    <col min="2" max="2" width="16.5" style="14" customWidth="1"/>
    <col min="3" max="14" width="9.25" style="1" customWidth="1"/>
    <col min="15" max="15" width="9.25" style="79" customWidth="1"/>
    <col min="16" max="16" width="9.25" style="344" customWidth="1"/>
    <col min="17" max="16384" width="7.5" style="1"/>
  </cols>
  <sheetData>
    <row r="1" spans="1:17" s="66" customFormat="1" ht="18.75" customHeight="1" x14ac:dyDescent="0.2">
      <c r="A1" s="86"/>
      <c r="C1" s="88"/>
      <c r="D1" s="87" t="s">
        <v>83</v>
      </c>
      <c r="E1" s="88"/>
      <c r="F1" s="88"/>
      <c r="G1" s="88"/>
      <c r="H1" s="88"/>
      <c r="K1" s="87" t="str">
        <f>สรุปยอด!C3</f>
        <v xml:space="preserve"> ปีงบประมาณ   2563</v>
      </c>
      <c r="L1" s="88"/>
      <c r="M1" s="88"/>
      <c r="N1" s="88"/>
      <c r="O1" s="88"/>
      <c r="P1" s="328"/>
      <c r="Q1" s="69"/>
    </row>
    <row r="2" spans="1:17" s="66" customFormat="1" ht="18.75" customHeight="1" x14ac:dyDescent="0.2">
      <c r="A2" s="86"/>
      <c r="C2" s="87" t="str">
        <f>'[1]1.1.ยา(ทั่วไป)'!C2</f>
        <v>จาก ฝ่ายเภสัชกรรมชุมชน  โรงพยาบาลกุมภวาปี</v>
      </c>
      <c r="D2" s="88"/>
      <c r="F2" s="88"/>
      <c r="G2" s="88"/>
      <c r="I2" s="88"/>
      <c r="J2" s="88"/>
      <c r="K2" s="88"/>
      <c r="M2" s="89"/>
      <c r="N2" s="90" t="str">
        <f>สรุปยอด!D4</f>
        <v>รายงานข้อมูลณ วันที่ 28/12/63</v>
      </c>
      <c r="O2" s="91"/>
      <c r="P2" s="328"/>
      <c r="Q2" s="69"/>
    </row>
    <row r="3" spans="1:17" s="66" customFormat="1" ht="6.75" customHeight="1" x14ac:dyDescent="0.2">
      <c r="A3" s="86"/>
      <c r="C3" s="87"/>
      <c r="D3" s="88"/>
      <c r="F3" s="88"/>
      <c r="G3" s="88"/>
      <c r="I3" s="88"/>
      <c r="J3" s="88"/>
      <c r="K3" s="88"/>
      <c r="M3" s="89"/>
      <c r="N3" s="90"/>
      <c r="O3" s="91"/>
      <c r="P3" s="328"/>
      <c r="Q3" s="69"/>
    </row>
    <row r="4" spans="1:17" s="79" customFormat="1" ht="18.75" customHeight="1" x14ac:dyDescent="0.5">
      <c r="A4" s="76" t="s">
        <v>0</v>
      </c>
      <c r="B4" s="78" t="s">
        <v>1</v>
      </c>
      <c r="C4" s="77" t="s">
        <v>27</v>
      </c>
      <c r="D4" s="77" t="s">
        <v>28</v>
      </c>
      <c r="E4" s="77" t="s">
        <v>29</v>
      </c>
      <c r="F4" s="77" t="s">
        <v>30</v>
      </c>
      <c r="G4" s="77" t="s">
        <v>31</v>
      </c>
      <c r="H4" s="77" t="s">
        <v>32</v>
      </c>
      <c r="I4" s="77" t="s">
        <v>33</v>
      </c>
      <c r="J4" s="77" t="s">
        <v>34</v>
      </c>
      <c r="K4" s="77" t="s">
        <v>35</v>
      </c>
      <c r="L4" s="77" t="s">
        <v>36</v>
      </c>
      <c r="M4" s="77" t="s">
        <v>37</v>
      </c>
      <c r="N4" s="77" t="s">
        <v>38</v>
      </c>
      <c r="O4" s="77" t="s">
        <v>39</v>
      </c>
      <c r="P4" s="339" t="s">
        <v>40</v>
      </c>
    </row>
    <row r="5" spans="1:17" s="20" customFormat="1" ht="19.5" customHeight="1" x14ac:dyDescent="0.2">
      <c r="A5" s="5">
        <v>1</v>
      </c>
      <c r="B5" s="34" t="s">
        <v>18</v>
      </c>
      <c r="C5" s="92">
        <f>33619+1476+10547.52</f>
        <v>45642.520000000004</v>
      </c>
      <c r="D5" s="92">
        <f>15930+31705</f>
        <v>47635</v>
      </c>
      <c r="E5" s="92">
        <f>56567+512</f>
        <v>57079</v>
      </c>
      <c r="F5" s="92"/>
      <c r="G5" s="92"/>
      <c r="H5" s="92"/>
      <c r="I5" s="92"/>
      <c r="J5" s="92"/>
      <c r="K5" s="92"/>
      <c r="L5" s="92"/>
      <c r="M5" s="92"/>
      <c r="N5" s="92"/>
      <c r="O5" s="305">
        <f>SUM(C5:N5)</f>
        <v>150356.52000000002</v>
      </c>
      <c r="P5" s="340">
        <f>O5/$O$23</f>
        <v>0.20136780330994136</v>
      </c>
    </row>
    <row r="6" spans="1:17" s="20" customFormat="1" ht="19.5" customHeight="1" x14ac:dyDescent="0.2">
      <c r="A6" s="5">
        <v>2</v>
      </c>
      <c r="B6" s="34" t="s">
        <v>19</v>
      </c>
      <c r="C6" s="92">
        <v>36295.300000000003</v>
      </c>
      <c r="D6" s="92">
        <f>26524+640</f>
        <v>27164</v>
      </c>
      <c r="E6" s="92">
        <f>35801.3+900+1075</f>
        <v>37776.300000000003</v>
      </c>
      <c r="F6" s="92"/>
      <c r="G6" s="92"/>
      <c r="H6" s="92"/>
      <c r="I6" s="92"/>
      <c r="J6" s="92"/>
      <c r="K6" s="92"/>
      <c r="L6" s="92"/>
      <c r="M6" s="92"/>
      <c r="N6" s="92"/>
      <c r="O6" s="305">
        <f t="shared" ref="O6:O22" si="0">SUM(C6:N6)</f>
        <v>101235.6</v>
      </c>
      <c r="P6" s="340">
        <f t="shared" ref="P6:P27" si="1">O6/$O$23</f>
        <v>0.13558168537529267</v>
      </c>
    </row>
    <row r="7" spans="1:17" s="20" customFormat="1" ht="19.5" customHeight="1" x14ac:dyDescent="0.2">
      <c r="A7" s="5">
        <v>3</v>
      </c>
      <c r="B7" s="34" t="s">
        <v>20</v>
      </c>
      <c r="C7" s="92">
        <f>10889+7206</f>
        <v>18095</v>
      </c>
      <c r="D7" s="92">
        <f>12263.5+2250</f>
        <v>14513.5</v>
      </c>
      <c r="E7" s="92">
        <v>10602.65</v>
      </c>
      <c r="F7" s="92"/>
      <c r="G7" s="92"/>
      <c r="H7" s="92"/>
      <c r="I7" s="92"/>
      <c r="J7" s="92"/>
      <c r="K7" s="92"/>
      <c r="L7" s="92"/>
      <c r="M7" s="92"/>
      <c r="N7" s="92"/>
      <c r="O7" s="305">
        <f t="shared" si="0"/>
        <v>43211.15</v>
      </c>
      <c r="P7" s="340">
        <f t="shared" si="1"/>
        <v>5.7871347075579907E-2</v>
      </c>
    </row>
    <row r="8" spans="1:17" s="20" customFormat="1" ht="19.5" customHeight="1" x14ac:dyDescent="0.2">
      <c r="A8" s="5">
        <v>4</v>
      </c>
      <c r="B8" s="34" t="s">
        <v>21</v>
      </c>
      <c r="C8" s="92">
        <v>2700</v>
      </c>
      <c r="D8" s="92">
        <v>32348.880000000001</v>
      </c>
      <c r="E8" s="92">
        <v>45831</v>
      </c>
      <c r="F8" s="92"/>
      <c r="G8" s="92"/>
      <c r="H8" s="92"/>
      <c r="I8" s="92"/>
      <c r="J8" s="92"/>
      <c r="K8" s="92"/>
      <c r="L8" s="92"/>
      <c r="M8" s="92"/>
      <c r="N8" s="92"/>
      <c r="O8" s="305">
        <f t="shared" si="0"/>
        <v>80879.88</v>
      </c>
      <c r="P8" s="340">
        <f t="shared" si="1"/>
        <v>0.10831990370335559</v>
      </c>
    </row>
    <row r="9" spans="1:17" s="20" customFormat="1" ht="19.5" customHeight="1" x14ac:dyDescent="0.2">
      <c r="A9" s="5">
        <v>5</v>
      </c>
      <c r="B9" s="34" t="s">
        <v>2</v>
      </c>
      <c r="C9" s="92">
        <f>880+5232</f>
        <v>6112</v>
      </c>
      <c r="D9" s="92">
        <f>5100+10423.15</f>
        <v>15523.15</v>
      </c>
      <c r="E9" s="92">
        <f>21958+360</f>
        <v>22318</v>
      </c>
      <c r="F9" s="92"/>
      <c r="G9" s="92"/>
      <c r="H9" s="92"/>
      <c r="I9" s="92"/>
      <c r="J9" s="92"/>
      <c r="K9" s="92"/>
      <c r="L9" s="92"/>
      <c r="M9" s="92"/>
      <c r="N9" s="92"/>
      <c r="O9" s="305">
        <f t="shared" si="0"/>
        <v>43953.15</v>
      </c>
      <c r="P9" s="340">
        <f t="shared" si="1"/>
        <v>5.8865084560698451E-2</v>
      </c>
    </row>
    <row r="10" spans="1:17" s="20" customFormat="1" ht="19.5" customHeight="1" x14ac:dyDescent="0.2">
      <c r="A10" s="5">
        <v>6</v>
      </c>
      <c r="B10" s="34" t="s">
        <v>3</v>
      </c>
      <c r="C10" s="92">
        <v>3890</v>
      </c>
      <c r="D10" s="92">
        <v>10375.15</v>
      </c>
      <c r="E10" s="92">
        <v>6937</v>
      </c>
      <c r="F10" s="92"/>
      <c r="G10" s="92"/>
      <c r="H10" s="92"/>
      <c r="I10" s="92"/>
      <c r="J10" s="92"/>
      <c r="K10" s="92"/>
      <c r="L10" s="92"/>
      <c r="M10" s="92"/>
      <c r="N10" s="92"/>
      <c r="O10" s="305">
        <f t="shared" si="0"/>
        <v>21202.15</v>
      </c>
      <c r="P10" s="340">
        <f t="shared" si="1"/>
        <v>2.839537900283854E-2</v>
      </c>
    </row>
    <row r="11" spans="1:17" s="20" customFormat="1" ht="19.5" customHeight="1" x14ac:dyDescent="0.2">
      <c r="A11" s="5">
        <v>7</v>
      </c>
      <c r="B11" s="34" t="s">
        <v>4</v>
      </c>
      <c r="C11" s="92">
        <v>0</v>
      </c>
      <c r="D11" s="92">
        <v>3235</v>
      </c>
      <c r="E11" s="92">
        <v>0</v>
      </c>
      <c r="F11" s="92"/>
      <c r="G11" s="92"/>
      <c r="H11" s="92"/>
      <c r="I11" s="92"/>
      <c r="J11" s="92"/>
      <c r="K11" s="92"/>
      <c r="L11" s="92"/>
      <c r="M11" s="92"/>
      <c r="N11" s="92"/>
      <c r="O11" s="305">
        <f t="shared" si="0"/>
        <v>3235</v>
      </c>
      <c r="P11" s="340">
        <f t="shared" si="1"/>
        <v>4.3325347228551194E-3</v>
      </c>
    </row>
    <row r="12" spans="1:17" s="20" customFormat="1" ht="19.5" customHeight="1" x14ac:dyDescent="0.2">
      <c r="A12" s="5">
        <v>8</v>
      </c>
      <c r="B12" s="34" t="s">
        <v>5</v>
      </c>
      <c r="C12" s="92">
        <v>29975</v>
      </c>
      <c r="D12" s="92">
        <f>9994.35+5988.65</f>
        <v>15983</v>
      </c>
      <c r="E12" s="92">
        <f>2193.5+16841.6</f>
        <v>19035.099999999999</v>
      </c>
      <c r="F12" s="92"/>
      <c r="G12" s="92"/>
      <c r="H12" s="92"/>
      <c r="I12" s="92"/>
      <c r="J12" s="92"/>
      <c r="K12" s="92"/>
      <c r="L12" s="92"/>
      <c r="M12" s="92"/>
      <c r="N12" s="92"/>
      <c r="O12" s="305">
        <f t="shared" si="0"/>
        <v>64993.1</v>
      </c>
      <c r="P12" s="340">
        <f t="shared" si="1"/>
        <v>8.7043234156412685E-2</v>
      </c>
    </row>
    <row r="13" spans="1:17" s="20" customFormat="1" ht="19.5" customHeight="1" x14ac:dyDescent="0.2">
      <c r="A13" s="5">
        <v>9</v>
      </c>
      <c r="B13" s="34" t="s">
        <v>6</v>
      </c>
      <c r="C13" s="92">
        <v>0</v>
      </c>
      <c r="D13" s="92">
        <f>1391+8226</f>
        <v>9617</v>
      </c>
      <c r="E13" s="92">
        <v>3627</v>
      </c>
      <c r="F13" s="92"/>
      <c r="G13" s="92"/>
      <c r="H13" s="92"/>
      <c r="I13" s="92"/>
      <c r="J13" s="92"/>
      <c r="K13" s="92"/>
      <c r="L13" s="92"/>
      <c r="M13" s="92"/>
      <c r="N13" s="92"/>
      <c r="O13" s="305">
        <f t="shared" si="0"/>
        <v>13244</v>
      </c>
      <c r="P13" s="340">
        <f t="shared" si="1"/>
        <v>1.7737276621172551E-2</v>
      </c>
    </row>
    <row r="14" spans="1:17" s="20" customFormat="1" ht="19.5" customHeight="1" x14ac:dyDescent="0.2">
      <c r="A14" s="5">
        <v>10</v>
      </c>
      <c r="B14" s="34" t="s">
        <v>7</v>
      </c>
      <c r="C14" s="92">
        <v>0</v>
      </c>
      <c r="D14" s="92">
        <v>9304.92</v>
      </c>
      <c r="E14" s="92">
        <v>10901</v>
      </c>
      <c r="F14" s="92"/>
      <c r="G14" s="92"/>
      <c r="H14" s="92"/>
      <c r="I14" s="92"/>
      <c r="J14" s="92"/>
      <c r="K14" s="92"/>
      <c r="L14" s="92"/>
      <c r="M14" s="92"/>
      <c r="N14" s="92"/>
      <c r="O14" s="305">
        <f t="shared" si="0"/>
        <v>20205.919999999998</v>
      </c>
      <c r="P14" s="340">
        <f t="shared" si="1"/>
        <v>2.7061159198526339E-2</v>
      </c>
    </row>
    <row r="15" spans="1:17" s="20" customFormat="1" ht="19.5" customHeight="1" x14ac:dyDescent="0.2">
      <c r="A15" s="5">
        <v>11</v>
      </c>
      <c r="B15" s="34" t="s">
        <v>8</v>
      </c>
      <c r="C15" s="92">
        <v>13945.15</v>
      </c>
      <c r="D15" s="92">
        <v>0</v>
      </c>
      <c r="E15" s="92">
        <f>12923+17672.5</f>
        <v>30595.5</v>
      </c>
      <c r="F15" s="92"/>
      <c r="G15" s="92"/>
      <c r="H15" s="92"/>
      <c r="I15" s="92"/>
      <c r="J15" s="92"/>
      <c r="K15" s="92"/>
      <c r="L15" s="92"/>
      <c r="M15" s="92"/>
      <c r="N15" s="92"/>
      <c r="O15" s="305">
        <f t="shared" si="0"/>
        <v>44540.65</v>
      </c>
      <c r="P15" s="340">
        <f t="shared" si="1"/>
        <v>5.9651905008821289E-2</v>
      </c>
    </row>
    <row r="16" spans="1:17" s="20" customFormat="1" ht="19.5" customHeight="1" x14ac:dyDescent="0.2">
      <c r="A16" s="5">
        <v>12</v>
      </c>
      <c r="B16" s="34" t="s">
        <v>9</v>
      </c>
      <c r="C16" s="92">
        <v>4804.5</v>
      </c>
      <c r="D16" s="92">
        <v>3884</v>
      </c>
      <c r="E16" s="92">
        <v>4812</v>
      </c>
      <c r="F16" s="92"/>
      <c r="G16" s="92"/>
      <c r="H16" s="92"/>
      <c r="I16" s="92"/>
      <c r="J16" s="92"/>
      <c r="K16" s="92"/>
      <c r="L16" s="92"/>
      <c r="M16" s="92"/>
      <c r="N16" s="92"/>
      <c r="O16" s="305">
        <f t="shared" si="0"/>
        <v>13500.5</v>
      </c>
      <c r="P16" s="340">
        <f t="shared" si="1"/>
        <v>1.8080799080650863E-2</v>
      </c>
    </row>
    <row r="17" spans="1:16" s="20" customFormat="1" ht="19.5" customHeight="1" x14ac:dyDescent="0.2">
      <c r="A17" s="5">
        <v>13</v>
      </c>
      <c r="B17" s="34" t="s">
        <v>10</v>
      </c>
      <c r="C17" s="92">
        <f>3485+2673</f>
        <v>6158</v>
      </c>
      <c r="D17" s="92">
        <v>5762.8</v>
      </c>
      <c r="E17" s="92">
        <v>0</v>
      </c>
      <c r="F17" s="92"/>
      <c r="G17" s="92"/>
      <c r="H17" s="92"/>
      <c r="I17" s="92"/>
      <c r="J17" s="92"/>
      <c r="K17" s="92"/>
      <c r="L17" s="92"/>
      <c r="M17" s="92"/>
      <c r="N17" s="92"/>
      <c r="O17" s="305">
        <f t="shared" si="0"/>
        <v>11920.8</v>
      </c>
      <c r="P17" s="340">
        <f t="shared" si="1"/>
        <v>1.5965156081672736E-2</v>
      </c>
    </row>
    <row r="18" spans="1:16" s="20" customFormat="1" ht="19.5" customHeight="1" x14ac:dyDescent="0.2">
      <c r="A18" s="5">
        <v>14</v>
      </c>
      <c r="B18" s="34" t="s">
        <v>11</v>
      </c>
      <c r="C18" s="92">
        <v>3955.5</v>
      </c>
      <c r="D18" s="92">
        <v>1490</v>
      </c>
      <c r="E18" s="92">
        <v>3181.4</v>
      </c>
      <c r="F18" s="92"/>
      <c r="G18" s="92"/>
      <c r="H18" s="92"/>
      <c r="I18" s="92"/>
      <c r="J18" s="92"/>
      <c r="K18" s="92"/>
      <c r="L18" s="92"/>
      <c r="M18" s="92"/>
      <c r="N18" s="92"/>
      <c r="O18" s="305">
        <f t="shared" si="0"/>
        <v>8626.9</v>
      </c>
      <c r="P18" s="340">
        <f t="shared" si="1"/>
        <v>1.1553738423678154E-2</v>
      </c>
    </row>
    <row r="19" spans="1:16" s="20" customFormat="1" ht="19.5" customHeight="1" x14ac:dyDescent="0.2">
      <c r="A19" s="5">
        <v>15</v>
      </c>
      <c r="B19" s="34" t="s">
        <v>12</v>
      </c>
      <c r="C19" s="92">
        <v>44163.519999999997</v>
      </c>
      <c r="D19" s="92">
        <v>7422.46</v>
      </c>
      <c r="E19" s="92">
        <v>11708.6</v>
      </c>
      <c r="F19" s="92"/>
      <c r="G19" s="92"/>
      <c r="H19" s="92"/>
      <c r="I19" s="92"/>
      <c r="J19" s="92"/>
      <c r="K19" s="92"/>
      <c r="L19" s="92"/>
      <c r="M19" s="92"/>
      <c r="N19" s="92"/>
      <c r="O19" s="305">
        <f t="shared" si="0"/>
        <v>63294.579999999994</v>
      </c>
      <c r="P19" s="340">
        <f t="shared" si="1"/>
        <v>8.4768459232930804E-2</v>
      </c>
    </row>
    <row r="20" spans="1:16" s="20" customFormat="1" ht="19.5" customHeight="1" x14ac:dyDescent="0.2">
      <c r="A20" s="5">
        <v>16</v>
      </c>
      <c r="B20" s="34" t="s">
        <v>13</v>
      </c>
      <c r="C20" s="92">
        <v>0</v>
      </c>
      <c r="D20" s="92">
        <f>9430.92+90+1350+2100+3750</f>
        <v>16720.919999999998</v>
      </c>
      <c r="E20" s="92">
        <v>2250</v>
      </c>
      <c r="F20" s="92"/>
      <c r="G20" s="92"/>
      <c r="H20" s="92"/>
      <c r="I20" s="92"/>
      <c r="J20" s="92"/>
      <c r="K20" s="92"/>
      <c r="L20" s="92"/>
      <c r="M20" s="92"/>
      <c r="N20" s="92"/>
      <c r="O20" s="305">
        <f t="shared" si="0"/>
        <v>18970.919999999998</v>
      </c>
      <c r="P20" s="340">
        <f t="shared" si="1"/>
        <v>2.5407162171408541E-2</v>
      </c>
    </row>
    <row r="21" spans="1:16" s="20" customFormat="1" ht="19.5" customHeight="1" x14ac:dyDescent="0.2">
      <c r="A21" s="5">
        <v>17</v>
      </c>
      <c r="B21" s="34" t="s">
        <v>14</v>
      </c>
      <c r="C21" s="92">
        <f>3439.92+10450</f>
        <v>13889.92</v>
      </c>
      <c r="D21" s="92">
        <v>8393</v>
      </c>
      <c r="E21" s="92">
        <v>6574</v>
      </c>
      <c r="F21" s="92"/>
      <c r="G21" s="92"/>
      <c r="H21" s="92"/>
      <c r="I21" s="92"/>
      <c r="J21" s="92"/>
      <c r="K21" s="92"/>
      <c r="L21" s="92"/>
      <c r="M21" s="92"/>
      <c r="N21" s="92"/>
      <c r="O21" s="305">
        <f t="shared" si="0"/>
        <v>28856.92</v>
      </c>
      <c r="P21" s="340">
        <f t="shared" si="1"/>
        <v>3.8647174001438127E-2</v>
      </c>
    </row>
    <row r="22" spans="1:16" s="20" customFormat="1" ht="19.5" customHeight="1" x14ac:dyDescent="0.2">
      <c r="A22" s="5">
        <v>18</v>
      </c>
      <c r="B22" s="34" t="s">
        <v>15</v>
      </c>
      <c r="C22" s="92">
        <v>3219.1</v>
      </c>
      <c r="D22" s="92">
        <f>6854.23+4375</f>
        <v>11229.23</v>
      </c>
      <c r="E22" s="92">
        <v>0</v>
      </c>
      <c r="F22" s="92"/>
      <c r="G22" s="92"/>
      <c r="H22" s="92"/>
      <c r="I22" s="92"/>
      <c r="J22" s="92"/>
      <c r="K22" s="92"/>
      <c r="L22" s="92"/>
      <c r="M22" s="92"/>
      <c r="N22" s="92"/>
      <c r="O22" s="305">
        <f t="shared" si="0"/>
        <v>14448.33</v>
      </c>
      <c r="P22" s="340">
        <f t="shared" si="1"/>
        <v>1.9350198272726216E-2</v>
      </c>
    </row>
    <row r="23" spans="1:16" s="52" customFormat="1" ht="21.75" customHeight="1" x14ac:dyDescent="0.2">
      <c r="A23" s="94">
        <v>5.4166666666666669E-2</v>
      </c>
      <c r="B23" s="95" t="s">
        <v>22</v>
      </c>
      <c r="C23" s="356">
        <f>C22+C21+C20+C19+C18+C17+C16+C15+C14+C13+C12+C11+C10+C9+C8+C7+C6+C5</f>
        <v>232845.51</v>
      </c>
      <c r="D23" s="96">
        <f>D21+D22+D20+D19+D18+D17+D16+D15+D14+D13+D12+D11+D10+D9+D8+D7+D6+D5</f>
        <v>240602.00999999998</v>
      </c>
      <c r="E23" s="96">
        <f>E21+E20+E19+E18+E17+E16+E15+E14+E13+E12+E11+E10+E9+E8+E7+E6+E5</f>
        <v>273228.55</v>
      </c>
      <c r="F23" s="96"/>
      <c r="G23" s="96"/>
      <c r="H23" s="96"/>
      <c r="I23" s="96"/>
      <c r="J23" s="96"/>
      <c r="K23" s="96"/>
      <c r="L23" s="96"/>
      <c r="M23" s="96"/>
      <c r="N23" s="96"/>
      <c r="O23" s="306">
        <f t="shared" ref="O23:O26" si="2">SUM(C23:N23)</f>
        <v>746676.07000000007</v>
      </c>
      <c r="P23" s="341">
        <f t="shared" si="1"/>
        <v>1</v>
      </c>
    </row>
    <row r="24" spans="1:16" s="20" customFormat="1" ht="19.5" customHeight="1" x14ac:dyDescent="0.2">
      <c r="A24" s="6">
        <v>19</v>
      </c>
      <c r="B24" s="34" t="s">
        <v>16</v>
      </c>
      <c r="C24" s="93">
        <v>8893.1</v>
      </c>
      <c r="D24" s="93">
        <v>12857.84</v>
      </c>
      <c r="E24" s="93">
        <v>36586</v>
      </c>
      <c r="F24" s="93"/>
      <c r="G24" s="93"/>
      <c r="H24" s="93"/>
      <c r="I24" s="93"/>
      <c r="J24" s="93"/>
      <c r="K24" s="93"/>
      <c r="L24" s="93"/>
      <c r="M24" s="93"/>
      <c r="N24" s="93"/>
      <c r="O24" s="307">
        <f t="shared" si="2"/>
        <v>58336.94</v>
      </c>
      <c r="P24" s="342">
        <f t="shared" si="1"/>
        <v>7.8128846421983228E-2</v>
      </c>
    </row>
    <row r="25" spans="1:16" s="20" customFormat="1" ht="19.5" customHeight="1" x14ac:dyDescent="0.2">
      <c r="A25" s="6">
        <v>20</v>
      </c>
      <c r="B25" s="34" t="s">
        <v>17</v>
      </c>
      <c r="C25" s="93">
        <v>0</v>
      </c>
      <c r="D25" s="93">
        <v>0</v>
      </c>
      <c r="E25" s="93">
        <v>0</v>
      </c>
      <c r="F25" s="93"/>
      <c r="G25" s="93"/>
      <c r="H25" s="93"/>
      <c r="I25" s="93"/>
      <c r="J25" s="93"/>
      <c r="K25" s="93"/>
      <c r="L25" s="93"/>
      <c r="M25" s="93"/>
      <c r="N25" s="93"/>
      <c r="O25" s="307">
        <f t="shared" si="2"/>
        <v>0</v>
      </c>
      <c r="P25" s="342">
        <f t="shared" si="1"/>
        <v>0</v>
      </c>
    </row>
    <row r="26" spans="1:16" s="52" customFormat="1" ht="21" customHeight="1" x14ac:dyDescent="0.2">
      <c r="A26" s="97" t="s">
        <v>54</v>
      </c>
      <c r="B26" s="98" t="s">
        <v>23</v>
      </c>
      <c r="C26" s="99">
        <f>C24</f>
        <v>8893.1</v>
      </c>
      <c r="D26" s="99">
        <f>D24</f>
        <v>12857.84</v>
      </c>
      <c r="E26" s="99">
        <f>E24</f>
        <v>36586</v>
      </c>
      <c r="F26" s="99"/>
      <c r="G26" s="99"/>
      <c r="H26" s="99"/>
      <c r="I26" s="99"/>
      <c r="J26" s="99"/>
      <c r="K26" s="99"/>
      <c r="L26" s="99"/>
      <c r="M26" s="99"/>
      <c r="N26" s="99"/>
      <c r="O26" s="308">
        <f t="shared" si="2"/>
        <v>58336.94</v>
      </c>
      <c r="P26" s="343">
        <f t="shared" si="1"/>
        <v>7.8128846421983228E-2</v>
      </c>
    </row>
    <row r="27" spans="1:16" s="134" customFormat="1" ht="22.5" customHeight="1" x14ac:dyDescent="0.2">
      <c r="A27" s="155" t="s">
        <v>26</v>
      </c>
      <c r="B27" s="159" t="s">
        <v>25</v>
      </c>
      <c r="C27" s="357">
        <f>C24+C23</f>
        <v>241738.61000000002</v>
      </c>
      <c r="D27" s="158">
        <f>D24+D23</f>
        <v>253459.84999999998</v>
      </c>
      <c r="E27" s="158">
        <f>E24+E23</f>
        <v>309814.55</v>
      </c>
      <c r="F27" s="158"/>
      <c r="G27" s="158"/>
      <c r="H27" s="158"/>
      <c r="I27" s="158"/>
      <c r="J27" s="357"/>
      <c r="K27" s="158"/>
      <c r="L27" s="158"/>
      <c r="M27" s="158"/>
      <c r="N27" s="158"/>
      <c r="O27" s="158">
        <f>SUM(C27:N27)</f>
        <v>805013.01</v>
      </c>
      <c r="P27" s="330">
        <f t="shared" si="1"/>
        <v>1.0781288464219831</v>
      </c>
    </row>
    <row r="28" spans="1:16" ht="13.5" customHeight="1" x14ac:dyDescent="0.5"/>
    <row r="29" spans="1:16" ht="13.5" customHeight="1" x14ac:dyDescent="0.5"/>
    <row r="30" spans="1:16" ht="13.5" customHeight="1" x14ac:dyDescent="0.5">
      <c r="G30" s="362" t="s">
        <v>71</v>
      </c>
      <c r="H30" s="362"/>
      <c r="I30" s="362"/>
      <c r="J30" s="56"/>
      <c r="K30" s="56"/>
      <c r="L30" s="362" t="s">
        <v>49</v>
      </c>
      <c r="M30" s="362"/>
      <c r="N30" s="362"/>
    </row>
    <row r="31" spans="1:16" ht="18.75" customHeight="1" x14ac:dyDescent="0.5">
      <c r="G31" s="56"/>
      <c r="H31" s="56" t="s">
        <v>50</v>
      </c>
      <c r="I31" s="56"/>
      <c r="J31" s="56"/>
      <c r="K31" s="56"/>
      <c r="L31" s="57"/>
      <c r="M31" s="56" t="s">
        <v>51</v>
      </c>
      <c r="N31" s="58"/>
    </row>
    <row r="32" spans="1:16" ht="18.75" customHeight="1" x14ac:dyDescent="0.5">
      <c r="G32" s="56"/>
      <c r="H32" s="57" t="s">
        <v>52</v>
      </c>
      <c r="I32" s="57"/>
      <c r="J32" s="57"/>
      <c r="K32" s="56"/>
      <c r="L32" s="57"/>
      <c r="M32" s="56" t="s">
        <v>53</v>
      </c>
      <c r="N32" s="58"/>
    </row>
    <row r="33" spans="7:14" ht="18.75" customHeight="1" x14ac:dyDescent="0.5">
      <c r="G33" s="57"/>
      <c r="H33" s="57"/>
      <c r="I33" s="57"/>
      <c r="J33" s="57"/>
      <c r="K33" s="56"/>
      <c r="L33" s="57"/>
      <c r="M33" s="57"/>
      <c r="N33" s="59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opLeftCell="A4" zoomScaleNormal="100" workbookViewId="0">
      <selection activeCell="C22" sqref="C22"/>
    </sheetView>
  </sheetViews>
  <sheetFormatPr defaultRowHeight="18" customHeight="1" x14ac:dyDescent="0.45"/>
  <cols>
    <col min="1" max="1" width="5.5" style="114" customWidth="1"/>
    <col min="2" max="2" width="16.5" style="114" customWidth="1"/>
    <col min="3" max="14" width="8.25" style="114" customWidth="1"/>
    <col min="15" max="15" width="8.25" style="166" customWidth="1"/>
    <col min="16" max="16" width="9.5" style="335" customWidth="1"/>
    <col min="17" max="16384" width="9" style="114"/>
  </cols>
  <sheetData>
    <row r="1" spans="1:17" s="176" customFormat="1" ht="21" customHeight="1" x14ac:dyDescent="0.45">
      <c r="A1" s="175"/>
      <c r="C1" s="177"/>
      <c r="D1" s="178" t="s">
        <v>63</v>
      </c>
      <c r="E1" s="177"/>
      <c r="F1" s="177"/>
      <c r="G1" s="177"/>
      <c r="H1" s="177"/>
      <c r="K1" s="178" t="s">
        <v>55</v>
      </c>
      <c r="L1" s="177"/>
      <c r="M1" s="177"/>
      <c r="N1" s="177"/>
      <c r="O1" s="177"/>
      <c r="P1" s="334"/>
      <c r="Q1" s="179"/>
    </row>
    <row r="2" spans="1:17" s="176" customFormat="1" ht="21" customHeight="1" x14ac:dyDescent="0.45">
      <c r="A2" s="175"/>
      <c r="C2" s="178" t="str">
        <f>'[1]1.1.ยา(ทั่วไป)'!C2</f>
        <v>จาก ฝ่ายเภสัชกรรมชุมชน  โรงพยาบาลกุมภวาปี</v>
      </c>
      <c r="D2" s="177"/>
      <c r="F2" s="177"/>
      <c r="G2" s="177"/>
      <c r="I2" s="177"/>
      <c r="J2" s="177"/>
      <c r="K2" s="177"/>
      <c r="M2" s="180"/>
      <c r="N2" s="181"/>
      <c r="O2" s="182"/>
      <c r="P2" s="334"/>
      <c r="Q2" s="179"/>
    </row>
    <row r="3" spans="1:17" s="171" customFormat="1" ht="4.5" customHeight="1" x14ac:dyDescent="0.45">
      <c r="O3" s="169"/>
      <c r="P3" s="335"/>
    </row>
    <row r="4" spans="1:17" s="171" customFormat="1" ht="18" customHeight="1" x14ac:dyDescent="0.45">
      <c r="A4" s="172" t="s">
        <v>0</v>
      </c>
      <c r="B4" s="173" t="s">
        <v>1</v>
      </c>
      <c r="C4" s="173" t="s">
        <v>27</v>
      </c>
      <c r="D4" s="173" t="s">
        <v>28</v>
      </c>
      <c r="E4" s="173" t="s">
        <v>29</v>
      </c>
      <c r="F4" s="173" t="s">
        <v>30</v>
      </c>
      <c r="G4" s="173" t="s">
        <v>31</v>
      </c>
      <c r="H4" s="173" t="s">
        <v>32</v>
      </c>
      <c r="I4" s="173" t="s">
        <v>33</v>
      </c>
      <c r="J4" s="173" t="s">
        <v>34</v>
      </c>
      <c r="K4" s="173" t="s">
        <v>35</v>
      </c>
      <c r="L4" s="173" t="s">
        <v>36</v>
      </c>
      <c r="M4" s="173" t="s">
        <v>37</v>
      </c>
      <c r="N4" s="173" t="s">
        <v>38</v>
      </c>
      <c r="O4" s="173" t="s">
        <v>39</v>
      </c>
      <c r="P4" s="336" t="s">
        <v>40</v>
      </c>
    </row>
    <row r="5" spans="1:17" ht="18" customHeight="1" x14ac:dyDescent="0.45">
      <c r="A5" s="116">
        <v>1</v>
      </c>
      <c r="B5" s="117" t="s">
        <v>18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221"/>
      <c r="P5" s="313" t="e">
        <f t="shared" ref="P5:P27" si="0">O5/$O$23</f>
        <v>#DIV/0!</v>
      </c>
    </row>
    <row r="6" spans="1:17" ht="18" customHeight="1" x14ac:dyDescent="0.45">
      <c r="A6" s="116">
        <v>2</v>
      </c>
      <c r="B6" s="118" t="s">
        <v>19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221"/>
      <c r="P6" s="313" t="e">
        <f t="shared" si="0"/>
        <v>#DIV/0!</v>
      </c>
    </row>
    <row r="7" spans="1:17" ht="18" customHeight="1" x14ac:dyDescent="0.45">
      <c r="A7" s="116">
        <v>3</v>
      </c>
      <c r="B7" s="118" t="s">
        <v>20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221"/>
      <c r="P7" s="313" t="e">
        <f t="shared" si="0"/>
        <v>#DIV/0!</v>
      </c>
    </row>
    <row r="8" spans="1:17" ht="18" customHeight="1" x14ac:dyDescent="0.45">
      <c r="A8" s="116">
        <v>4</v>
      </c>
      <c r="B8" s="118" t="s">
        <v>21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221"/>
      <c r="P8" s="313" t="e">
        <f t="shared" si="0"/>
        <v>#DIV/0!</v>
      </c>
    </row>
    <row r="9" spans="1:17" ht="18" customHeight="1" x14ac:dyDescent="0.45">
      <c r="A9" s="116">
        <v>5</v>
      </c>
      <c r="B9" s="118" t="s">
        <v>2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221"/>
      <c r="P9" s="313" t="e">
        <f t="shared" si="0"/>
        <v>#DIV/0!</v>
      </c>
    </row>
    <row r="10" spans="1:17" ht="18" customHeight="1" x14ac:dyDescent="0.45">
      <c r="A10" s="116">
        <v>6</v>
      </c>
      <c r="B10" s="118" t="s">
        <v>3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221"/>
      <c r="P10" s="313" t="e">
        <f t="shared" si="0"/>
        <v>#DIV/0!</v>
      </c>
    </row>
    <row r="11" spans="1:17" ht="18" customHeight="1" x14ac:dyDescent="0.45">
      <c r="A11" s="116">
        <v>7</v>
      </c>
      <c r="B11" s="118" t="s">
        <v>4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221"/>
      <c r="P11" s="313" t="e">
        <f t="shared" si="0"/>
        <v>#DIV/0!</v>
      </c>
    </row>
    <row r="12" spans="1:17" ht="18" customHeight="1" x14ac:dyDescent="0.45">
      <c r="A12" s="116">
        <v>8</v>
      </c>
      <c r="B12" s="118" t="s">
        <v>5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221"/>
      <c r="P12" s="313" t="e">
        <f t="shared" si="0"/>
        <v>#DIV/0!</v>
      </c>
    </row>
    <row r="13" spans="1:17" ht="18" customHeight="1" x14ac:dyDescent="0.45">
      <c r="A13" s="116">
        <v>9</v>
      </c>
      <c r="B13" s="118" t="s">
        <v>6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221"/>
      <c r="P13" s="313" t="e">
        <f t="shared" si="0"/>
        <v>#DIV/0!</v>
      </c>
    </row>
    <row r="14" spans="1:17" ht="18" customHeight="1" x14ac:dyDescent="0.45">
      <c r="A14" s="116">
        <v>10</v>
      </c>
      <c r="B14" s="118" t="s">
        <v>7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221"/>
      <c r="P14" s="313" t="e">
        <f t="shared" si="0"/>
        <v>#DIV/0!</v>
      </c>
    </row>
    <row r="15" spans="1:17" ht="18" customHeight="1" x14ac:dyDescent="0.45">
      <c r="A15" s="116">
        <v>11</v>
      </c>
      <c r="B15" s="118" t="s">
        <v>8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221"/>
      <c r="P15" s="313" t="e">
        <f t="shared" si="0"/>
        <v>#DIV/0!</v>
      </c>
    </row>
    <row r="16" spans="1:17" ht="18" customHeight="1" x14ac:dyDescent="0.45">
      <c r="A16" s="116">
        <v>12</v>
      </c>
      <c r="B16" s="118" t="s">
        <v>9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221"/>
      <c r="P16" s="313" t="e">
        <f t="shared" si="0"/>
        <v>#DIV/0!</v>
      </c>
    </row>
    <row r="17" spans="1:16" ht="18" customHeight="1" x14ac:dyDescent="0.45">
      <c r="A17" s="116">
        <v>13</v>
      </c>
      <c r="B17" s="118" t="s">
        <v>10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221"/>
      <c r="P17" s="313" t="e">
        <f t="shared" si="0"/>
        <v>#DIV/0!</v>
      </c>
    </row>
    <row r="18" spans="1:16" ht="18" customHeight="1" x14ac:dyDescent="0.45">
      <c r="A18" s="116">
        <v>14</v>
      </c>
      <c r="B18" s="118" t="s">
        <v>11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221"/>
      <c r="P18" s="313" t="e">
        <f t="shared" si="0"/>
        <v>#DIV/0!</v>
      </c>
    </row>
    <row r="19" spans="1:16" ht="18" customHeight="1" x14ac:dyDescent="0.45">
      <c r="A19" s="116">
        <v>15</v>
      </c>
      <c r="B19" s="118" t="s">
        <v>12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221"/>
      <c r="P19" s="313" t="e">
        <f t="shared" si="0"/>
        <v>#DIV/0!</v>
      </c>
    </row>
    <row r="20" spans="1:16" ht="18" customHeight="1" x14ac:dyDescent="0.45">
      <c r="A20" s="116">
        <v>16</v>
      </c>
      <c r="B20" s="119" t="s">
        <v>13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221"/>
      <c r="P20" s="313" t="e">
        <f t="shared" si="0"/>
        <v>#DIV/0!</v>
      </c>
    </row>
    <row r="21" spans="1:16" ht="18" customHeight="1" x14ac:dyDescent="0.45">
      <c r="A21" s="116">
        <v>17</v>
      </c>
      <c r="B21" s="118" t="s">
        <v>14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221"/>
      <c r="P21" s="313" t="e">
        <f t="shared" si="0"/>
        <v>#DIV/0!</v>
      </c>
    </row>
    <row r="22" spans="1:16" ht="18" customHeight="1" x14ac:dyDescent="0.45">
      <c r="A22" s="116">
        <v>18</v>
      </c>
      <c r="B22" s="118" t="s">
        <v>15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221"/>
      <c r="P22" s="313" t="e">
        <f t="shared" si="0"/>
        <v>#DIV/0!</v>
      </c>
    </row>
    <row r="23" spans="1:16" s="174" customFormat="1" ht="18" customHeight="1" x14ac:dyDescent="0.45">
      <c r="A23" s="186">
        <v>5.4166666666666669E-2</v>
      </c>
      <c r="B23" s="187" t="s">
        <v>22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302"/>
      <c r="P23" s="314" t="e">
        <f t="shared" si="0"/>
        <v>#DIV/0!</v>
      </c>
    </row>
    <row r="24" spans="1:16" ht="18" customHeight="1" x14ac:dyDescent="0.45">
      <c r="A24" s="120">
        <v>20</v>
      </c>
      <c r="B24" s="184" t="s">
        <v>16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303">
        <f t="shared" ref="O24:O27" si="1">SUM(C24:N24)</f>
        <v>0</v>
      </c>
      <c r="P24" s="337" t="e">
        <f t="shared" si="0"/>
        <v>#DIV/0!</v>
      </c>
    </row>
    <row r="25" spans="1:16" ht="18" customHeight="1" x14ac:dyDescent="0.45">
      <c r="A25" s="120">
        <v>21</v>
      </c>
      <c r="B25" s="118" t="s">
        <v>17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303">
        <f t="shared" si="1"/>
        <v>0</v>
      </c>
      <c r="P25" s="337" t="e">
        <f t="shared" si="0"/>
        <v>#DIV/0!</v>
      </c>
    </row>
    <row r="26" spans="1:16" s="174" customFormat="1" ht="18" customHeight="1" x14ac:dyDescent="0.45">
      <c r="A26" s="189" t="s">
        <v>24</v>
      </c>
      <c r="B26" s="190" t="s">
        <v>23</v>
      </c>
      <c r="C26" s="191">
        <f>C24+C25</f>
        <v>0</v>
      </c>
      <c r="D26" s="191">
        <f t="shared" ref="D26:N26" si="2">D24+D25</f>
        <v>0</v>
      </c>
      <c r="E26" s="191">
        <f t="shared" si="2"/>
        <v>0</v>
      </c>
      <c r="F26" s="191">
        <f t="shared" si="2"/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91">
        <f t="shared" si="2"/>
        <v>0</v>
      </c>
      <c r="M26" s="191">
        <f t="shared" si="2"/>
        <v>0</v>
      </c>
      <c r="N26" s="191">
        <f t="shared" si="2"/>
        <v>0</v>
      </c>
      <c r="O26" s="304">
        <f t="shared" si="1"/>
        <v>0</v>
      </c>
      <c r="P26" s="318" t="e">
        <f t="shared" si="0"/>
        <v>#DIV/0!</v>
      </c>
    </row>
    <row r="27" spans="1:16" s="211" customFormat="1" ht="18" customHeight="1" x14ac:dyDescent="0.45">
      <c r="A27" s="209" t="s">
        <v>26</v>
      </c>
      <c r="B27" s="210" t="s">
        <v>25</v>
      </c>
      <c r="C27" s="205">
        <f>C23+C26</f>
        <v>0</v>
      </c>
      <c r="D27" s="205">
        <f t="shared" ref="D27:N27" si="3">D23+D26</f>
        <v>0</v>
      </c>
      <c r="E27" s="205">
        <f t="shared" si="3"/>
        <v>0</v>
      </c>
      <c r="F27" s="205">
        <f t="shared" si="3"/>
        <v>0</v>
      </c>
      <c r="G27" s="205">
        <f t="shared" si="3"/>
        <v>0</v>
      </c>
      <c r="H27" s="205">
        <f t="shared" si="3"/>
        <v>0</v>
      </c>
      <c r="I27" s="205">
        <f t="shared" si="3"/>
        <v>0</v>
      </c>
      <c r="J27" s="205">
        <f t="shared" si="3"/>
        <v>0</v>
      </c>
      <c r="K27" s="205">
        <f t="shared" si="3"/>
        <v>0</v>
      </c>
      <c r="L27" s="205">
        <f t="shared" si="3"/>
        <v>0</v>
      </c>
      <c r="M27" s="205">
        <f t="shared" si="3"/>
        <v>0</v>
      </c>
      <c r="N27" s="205">
        <f t="shared" si="3"/>
        <v>0</v>
      </c>
      <c r="O27" s="205">
        <f t="shared" si="1"/>
        <v>0</v>
      </c>
      <c r="P27" s="338" t="e">
        <f t="shared" si="0"/>
        <v>#DIV/0!</v>
      </c>
    </row>
    <row r="30" spans="1:16" ht="18" customHeight="1" x14ac:dyDescent="0.45">
      <c r="G30" s="15"/>
      <c r="H30" s="16" t="s">
        <v>48</v>
      </c>
      <c r="I30" s="15"/>
      <c r="J30" s="15"/>
      <c r="K30" s="15"/>
      <c r="L30" s="17"/>
      <c r="M30" s="15" t="s">
        <v>49</v>
      </c>
      <c r="N30" s="18"/>
    </row>
    <row r="31" spans="1:16" ht="18" customHeight="1" x14ac:dyDescent="0.45"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</row>
    <row r="32" spans="1:16" ht="18" customHeight="1" x14ac:dyDescent="0.45"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</row>
    <row r="33" spans="7:14" ht="18" customHeight="1" x14ac:dyDescent="0.45">
      <c r="G33" s="17"/>
      <c r="H33" s="17"/>
      <c r="I33" s="17"/>
      <c r="J33" s="17"/>
      <c r="K33" s="15"/>
      <c r="L33" s="17"/>
      <c r="M33" s="17"/>
      <c r="N33" s="19"/>
    </row>
  </sheetData>
  <printOptions horizontalCentered="1"/>
  <pageMargins left="0" right="0" top="0.55118110236220474" bottom="0.35433070866141736" header="0.19685039370078741" footer="0.11811023622047245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tabSelected="1" topLeftCell="A8" zoomScale="160" zoomScaleNormal="160" workbookViewId="0">
      <selection activeCell="E28" sqref="E28"/>
    </sheetView>
  </sheetViews>
  <sheetFormatPr defaultRowHeight="16.5" customHeight="1" x14ac:dyDescent="0.2"/>
  <cols>
    <col min="1" max="1" width="4.875" style="27" customWidth="1"/>
    <col min="2" max="2" width="15.375" style="127" customWidth="1"/>
    <col min="3" max="8" width="8.375" style="125" customWidth="1"/>
    <col min="9" max="14" width="7.625" style="125" customWidth="1"/>
    <col min="15" max="15" width="9.25" style="280" customWidth="1"/>
    <col min="16" max="16" width="14.5" style="323" customWidth="1"/>
    <col min="17" max="16384" width="9" style="27"/>
  </cols>
  <sheetData>
    <row r="1" spans="1:17" s="68" customFormat="1" ht="19.5" customHeight="1" x14ac:dyDescent="0.2">
      <c r="A1" s="80"/>
      <c r="B1" s="81"/>
      <c r="C1" s="147"/>
      <c r="D1" s="148" t="s">
        <v>64</v>
      </c>
      <c r="E1" s="147"/>
      <c r="F1" s="147"/>
      <c r="G1" s="147"/>
      <c r="H1" s="147"/>
      <c r="I1" s="67"/>
      <c r="J1" s="67"/>
      <c r="K1" s="148" t="str">
        <f>สรุปยอด!C3</f>
        <v xml:space="preserve"> ปีงบประมาณ   2563</v>
      </c>
      <c r="L1" s="147"/>
      <c r="M1" s="147"/>
      <c r="N1" s="147"/>
      <c r="O1" s="147"/>
      <c r="P1" s="322"/>
      <c r="Q1" s="83"/>
    </row>
    <row r="2" spans="1:17" s="68" customFormat="1" ht="19.5" customHeight="1" x14ac:dyDescent="0.2">
      <c r="A2" s="80"/>
      <c r="B2" s="81"/>
      <c r="C2" s="148" t="str">
        <f>'[1]1.1.ยา(ทั่วไป)'!C2</f>
        <v>จาก ฝ่ายเภสัชกรรมชุมชน  โรงพยาบาลกุมภวาปี</v>
      </c>
      <c r="D2" s="147"/>
      <c r="E2" s="67"/>
      <c r="F2" s="147"/>
      <c r="G2" s="147"/>
      <c r="H2" s="67"/>
      <c r="I2" s="147"/>
      <c r="J2" s="147"/>
      <c r="K2" s="147"/>
      <c r="L2" s="67"/>
      <c r="M2" s="149"/>
      <c r="N2" s="150" t="str">
        <f>สรุปยอด!D4</f>
        <v>รายงานข้อมูลณ วันที่ 28/12/63</v>
      </c>
      <c r="O2" s="147"/>
      <c r="P2" s="322"/>
      <c r="Q2" s="83"/>
    </row>
    <row r="3" spans="1:17" ht="4.5" customHeight="1" x14ac:dyDescent="0.2"/>
    <row r="4" spans="1:17" ht="36" customHeight="1" x14ac:dyDescent="0.2">
      <c r="A4" s="25" t="s">
        <v>0</v>
      </c>
      <c r="B4" s="26" t="s">
        <v>1</v>
      </c>
      <c r="C4" s="108" t="s">
        <v>27</v>
      </c>
      <c r="D4" s="108" t="s">
        <v>28</v>
      </c>
      <c r="E4" s="108" t="s">
        <v>29</v>
      </c>
      <c r="F4" s="108" t="s">
        <v>30</v>
      </c>
      <c r="G4" s="108" t="s">
        <v>31</v>
      </c>
      <c r="H4" s="108" t="s">
        <v>32</v>
      </c>
      <c r="I4" s="108" t="s">
        <v>33</v>
      </c>
      <c r="J4" s="108" t="s">
        <v>34</v>
      </c>
      <c r="K4" s="108" t="s">
        <v>35</v>
      </c>
      <c r="L4" s="108" t="s">
        <v>36</v>
      </c>
      <c r="M4" s="108" t="s">
        <v>37</v>
      </c>
      <c r="N4" s="108" t="s">
        <v>38</v>
      </c>
      <c r="O4" s="198" t="s">
        <v>39</v>
      </c>
      <c r="P4" s="317" t="s">
        <v>40</v>
      </c>
    </row>
    <row r="5" spans="1:17" ht="18" customHeight="1" x14ac:dyDescent="0.2">
      <c r="A5" s="25">
        <v>1</v>
      </c>
      <c r="B5" s="26" t="s">
        <v>18</v>
      </c>
      <c r="C5" s="129">
        <v>7945.13</v>
      </c>
      <c r="D5" s="129">
        <v>9358.77</v>
      </c>
      <c r="E5" s="129">
        <v>10979.62</v>
      </c>
      <c r="F5" s="129"/>
      <c r="G5" s="129"/>
      <c r="H5" s="129"/>
      <c r="I5" s="129"/>
      <c r="J5" s="129"/>
      <c r="K5" s="129"/>
      <c r="L5" s="129"/>
      <c r="M5" s="129"/>
      <c r="N5" s="129"/>
      <c r="O5" s="299"/>
      <c r="P5" s="286" t="e">
        <f t="shared" ref="P5:P27" si="0">O5/$O$23</f>
        <v>#DIV/0!</v>
      </c>
    </row>
    <row r="6" spans="1:17" ht="18" customHeight="1" x14ac:dyDescent="0.2">
      <c r="A6" s="25">
        <v>2</v>
      </c>
      <c r="B6" s="26" t="s">
        <v>19</v>
      </c>
      <c r="C6" s="129">
        <v>3784.55</v>
      </c>
      <c r="D6" s="129">
        <v>6242.92</v>
      </c>
      <c r="E6" s="129">
        <v>8757.7900000000009</v>
      </c>
      <c r="F6" s="129"/>
      <c r="G6" s="129"/>
      <c r="H6" s="129"/>
      <c r="I6" s="129"/>
      <c r="J6" s="129"/>
      <c r="K6" s="129"/>
      <c r="L6" s="129"/>
      <c r="M6" s="129"/>
      <c r="N6" s="129"/>
      <c r="O6" s="299"/>
      <c r="P6" s="286" t="e">
        <f t="shared" si="0"/>
        <v>#DIV/0!</v>
      </c>
    </row>
    <row r="7" spans="1:17" ht="18" customHeight="1" x14ac:dyDescent="0.2">
      <c r="A7" s="25">
        <v>3</v>
      </c>
      <c r="B7" s="26" t="s">
        <v>20</v>
      </c>
      <c r="C7" s="129">
        <v>7220.6</v>
      </c>
      <c r="D7" s="129">
        <v>7975.94</v>
      </c>
      <c r="E7" s="129">
        <v>7242.9</v>
      </c>
      <c r="F7" s="129"/>
      <c r="G7" s="129"/>
      <c r="H7" s="129"/>
      <c r="I7" s="129"/>
      <c r="J7" s="129"/>
      <c r="K7" s="129"/>
      <c r="L7" s="129"/>
      <c r="M7" s="129"/>
      <c r="N7" s="129"/>
      <c r="O7" s="299"/>
      <c r="P7" s="286" t="e">
        <f t="shared" si="0"/>
        <v>#DIV/0!</v>
      </c>
    </row>
    <row r="8" spans="1:17" ht="18" customHeight="1" x14ac:dyDescent="0.2">
      <c r="A8" s="25">
        <v>4</v>
      </c>
      <c r="B8" s="26" t="s">
        <v>21</v>
      </c>
      <c r="C8" s="129">
        <v>16399.189999999999</v>
      </c>
      <c r="D8" s="129">
        <v>14133.99</v>
      </c>
      <c r="E8" s="129">
        <v>20753.66</v>
      </c>
      <c r="F8" s="129"/>
      <c r="G8" s="129"/>
      <c r="H8" s="129"/>
      <c r="I8" s="129"/>
      <c r="J8" s="129"/>
      <c r="K8" s="129"/>
      <c r="L8" s="129"/>
      <c r="M8" s="129"/>
      <c r="N8" s="129"/>
      <c r="O8" s="299"/>
      <c r="P8" s="286" t="e">
        <f t="shared" si="0"/>
        <v>#DIV/0!</v>
      </c>
    </row>
    <row r="9" spans="1:17" ht="18" customHeight="1" x14ac:dyDescent="0.2">
      <c r="A9" s="25">
        <v>5</v>
      </c>
      <c r="B9" s="26" t="s">
        <v>2</v>
      </c>
      <c r="C9" s="129">
        <v>4820.0200000000004</v>
      </c>
      <c r="D9" s="129">
        <v>3682.99</v>
      </c>
      <c r="E9" s="129">
        <v>11273.08</v>
      </c>
      <c r="F9" s="129"/>
      <c r="G9" s="129"/>
      <c r="H9" s="129"/>
      <c r="I9" s="129"/>
      <c r="J9" s="129"/>
      <c r="K9" s="129"/>
      <c r="L9" s="129"/>
      <c r="M9" s="129"/>
      <c r="N9" s="129"/>
      <c r="O9" s="299"/>
      <c r="P9" s="286" t="e">
        <f t="shared" si="0"/>
        <v>#DIV/0!</v>
      </c>
    </row>
    <row r="10" spans="1:17" ht="18" customHeight="1" x14ac:dyDescent="0.2">
      <c r="A10" s="25">
        <v>6</v>
      </c>
      <c r="B10" s="26" t="s">
        <v>3</v>
      </c>
      <c r="C10" s="129">
        <v>4934.99</v>
      </c>
      <c r="D10" s="129">
        <v>11124.69</v>
      </c>
      <c r="E10" s="129">
        <v>3702.69</v>
      </c>
      <c r="F10" s="129"/>
      <c r="G10" s="129"/>
      <c r="H10" s="129"/>
      <c r="I10" s="129"/>
      <c r="J10" s="129"/>
      <c r="K10" s="129"/>
      <c r="L10" s="129"/>
      <c r="M10" s="129"/>
      <c r="N10" s="129"/>
      <c r="O10" s="299"/>
      <c r="P10" s="286" t="e">
        <f t="shared" si="0"/>
        <v>#DIV/0!</v>
      </c>
    </row>
    <row r="11" spans="1:17" ht="18" customHeight="1" x14ac:dyDescent="0.2">
      <c r="A11" s="25">
        <v>7</v>
      </c>
      <c r="B11" s="26" t="s">
        <v>4</v>
      </c>
      <c r="C11" s="129">
        <v>5556.91</v>
      </c>
      <c r="D11" s="129">
        <v>3947.17</v>
      </c>
      <c r="E11" s="129">
        <v>2140.16</v>
      </c>
      <c r="F11" s="129"/>
      <c r="G11" s="129"/>
      <c r="H11" s="129"/>
      <c r="I11" s="129"/>
      <c r="J11" s="129"/>
      <c r="K11" s="129"/>
      <c r="L11" s="129"/>
      <c r="M11" s="129"/>
      <c r="N11" s="129"/>
      <c r="O11" s="299"/>
      <c r="P11" s="286" t="e">
        <f t="shared" si="0"/>
        <v>#DIV/0!</v>
      </c>
    </row>
    <row r="12" spans="1:17" ht="18" customHeight="1" x14ac:dyDescent="0.2">
      <c r="A12" s="25">
        <v>8</v>
      </c>
      <c r="B12" s="26" t="s">
        <v>5</v>
      </c>
      <c r="C12" s="129">
        <v>11759.95</v>
      </c>
      <c r="D12" s="129">
        <v>9381.89</v>
      </c>
      <c r="E12" s="129">
        <v>0</v>
      </c>
      <c r="F12" s="129"/>
      <c r="G12" s="129"/>
      <c r="H12" s="129"/>
      <c r="I12" s="129"/>
      <c r="J12" s="129"/>
      <c r="K12" s="129"/>
      <c r="L12" s="129"/>
      <c r="M12" s="129"/>
      <c r="N12" s="129"/>
      <c r="O12" s="299"/>
      <c r="P12" s="286" t="e">
        <f t="shared" si="0"/>
        <v>#DIV/0!</v>
      </c>
    </row>
    <row r="13" spans="1:17" ht="18" customHeight="1" x14ac:dyDescent="0.2">
      <c r="A13" s="25">
        <v>9</v>
      </c>
      <c r="B13" s="26" t="s">
        <v>6</v>
      </c>
      <c r="C13" s="129">
        <v>2193.94</v>
      </c>
      <c r="D13" s="129">
        <v>4143.53</v>
      </c>
      <c r="E13" s="129">
        <v>9165.94</v>
      </c>
      <c r="F13" s="129"/>
      <c r="G13" s="129"/>
      <c r="H13" s="129"/>
      <c r="I13" s="129"/>
      <c r="J13" s="129"/>
      <c r="K13" s="129"/>
      <c r="L13" s="129"/>
      <c r="M13" s="129"/>
      <c r="N13" s="129"/>
      <c r="O13" s="299"/>
      <c r="P13" s="286" t="e">
        <f t="shared" si="0"/>
        <v>#DIV/0!</v>
      </c>
    </row>
    <row r="14" spans="1:17" ht="18" customHeight="1" x14ac:dyDescent="0.2">
      <c r="A14" s="25">
        <v>10</v>
      </c>
      <c r="B14" s="26" t="s">
        <v>7</v>
      </c>
      <c r="C14" s="129">
        <v>0</v>
      </c>
      <c r="D14" s="129">
        <v>5775.11</v>
      </c>
      <c r="E14" s="129">
        <v>915.06</v>
      </c>
      <c r="F14" s="129"/>
      <c r="G14" s="129"/>
      <c r="H14" s="129"/>
      <c r="I14" s="129"/>
      <c r="J14" s="129"/>
      <c r="K14" s="129"/>
      <c r="L14" s="129"/>
      <c r="M14" s="129"/>
      <c r="N14" s="129"/>
      <c r="O14" s="299"/>
      <c r="P14" s="286" t="e">
        <f t="shared" si="0"/>
        <v>#DIV/0!</v>
      </c>
    </row>
    <row r="15" spans="1:17" ht="18" customHeight="1" x14ac:dyDescent="0.2">
      <c r="A15" s="25">
        <v>11</v>
      </c>
      <c r="B15" s="26" t="s">
        <v>8</v>
      </c>
      <c r="C15" s="129">
        <v>8049.23</v>
      </c>
      <c r="D15" s="129">
        <v>2327.4299999999998</v>
      </c>
      <c r="E15" s="129">
        <f>5772.2</f>
        <v>5772.2</v>
      </c>
      <c r="F15" s="129"/>
      <c r="G15" s="129"/>
      <c r="H15" s="129"/>
      <c r="I15" s="129"/>
      <c r="J15" s="129"/>
      <c r="K15" s="129"/>
      <c r="L15" s="129"/>
      <c r="M15" s="129"/>
      <c r="N15" s="129"/>
      <c r="O15" s="299"/>
      <c r="P15" s="286" t="e">
        <f t="shared" si="0"/>
        <v>#DIV/0!</v>
      </c>
    </row>
    <row r="16" spans="1:17" ht="18" customHeight="1" x14ac:dyDescent="0.2">
      <c r="A16" s="25">
        <v>12</v>
      </c>
      <c r="B16" s="26" t="s">
        <v>9</v>
      </c>
      <c r="C16" s="129">
        <v>4732.3999999999996</v>
      </c>
      <c r="D16" s="129">
        <v>776.34</v>
      </c>
      <c r="E16" s="129">
        <v>4377.3100000000004</v>
      </c>
      <c r="F16" s="129"/>
      <c r="G16" s="129"/>
      <c r="H16" s="129"/>
      <c r="I16" s="129"/>
      <c r="J16" s="129"/>
      <c r="K16" s="129"/>
      <c r="L16" s="129"/>
      <c r="M16" s="129"/>
      <c r="N16" s="129"/>
      <c r="O16" s="299"/>
      <c r="P16" s="286" t="e">
        <f t="shared" si="0"/>
        <v>#DIV/0!</v>
      </c>
    </row>
    <row r="17" spans="1:16" ht="18" customHeight="1" x14ac:dyDescent="0.2">
      <c r="A17" s="25">
        <v>13</v>
      </c>
      <c r="B17" s="26" t="s">
        <v>10</v>
      </c>
      <c r="C17" s="129">
        <v>2965.1</v>
      </c>
      <c r="D17" s="129">
        <v>2509.9</v>
      </c>
      <c r="E17" s="129">
        <v>0</v>
      </c>
      <c r="F17" s="129"/>
      <c r="G17" s="129"/>
      <c r="H17" s="129"/>
      <c r="I17" s="129"/>
      <c r="J17" s="129"/>
      <c r="K17" s="129"/>
      <c r="L17" s="129"/>
      <c r="M17" s="129"/>
      <c r="N17" s="129"/>
      <c r="O17" s="299"/>
      <c r="P17" s="286" t="e">
        <f t="shared" si="0"/>
        <v>#DIV/0!</v>
      </c>
    </row>
    <row r="18" spans="1:16" ht="18" customHeight="1" x14ac:dyDescent="0.2">
      <c r="A18" s="25">
        <v>14</v>
      </c>
      <c r="B18" s="26" t="s">
        <v>11</v>
      </c>
      <c r="C18" s="129">
        <v>7474.47</v>
      </c>
      <c r="D18" s="129">
        <v>5625.49</v>
      </c>
      <c r="E18" s="129">
        <v>7367.67</v>
      </c>
      <c r="F18" s="129"/>
      <c r="G18" s="129"/>
      <c r="H18" s="129"/>
      <c r="I18" s="129"/>
      <c r="J18" s="129"/>
      <c r="K18" s="129"/>
      <c r="L18" s="129"/>
      <c r="M18" s="129"/>
      <c r="N18" s="129"/>
      <c r="O18" s="299"/>
      <c r="P18" s="286" t="e">
        <f t="shared" si="0"/>
        <v>#DIV/0!</v>
      </c>
    </row>
    <row r="19" spans="1:16" ht="18" customHeight="1" x14ac:dyDescent="0.2">
      <c r="A19" s="25">
        <v>15</v>
      </c>
      <c r="B19" s="26" t="s">
        <v>12</v>
      </c>
      <c r="C19" s="129">
        <v>6169.08</v>
      </c>
      <c r="D19" s="129">
        <v>6420.16</v>
      </c>
      <c r="E19" s="129">
        <v>12228.54</v>
      </c>
      <c r="F19" s="129"/>
      <c r="G19" s="129"/>
      <c r="H19" s="129"/>
      <c r="I19" s="129"/>
      <c r="J19" s="129"/>
      <c r="K19" s="129"/>
      <c r="L19" s="129"/>
      <c r="M19" s="129"/>
      <c r="N19" s="129"/>
      <c r="O19" s="299"/>
      <c r="P19" s="286" t="e">
        <f t="shared" si="0"/>
        <v>#DIV/0!</v>
      </c>
    </row>
    <row r="20" spans="1:16" ht="18" customHeight="1" x14ac:dyDescent="0.2">
      <c r="A20" s="25">
        <v>16</v>
      </c>
      <c r="B20" s="128" t="s">
        <v>13</v>
      </c>
      <c r="C20" s="129">
        <v>0</v>
      </c>
      <c r="D20" s="129">
        <v>5822.78</v>
      </c>
      <c r="E20" s="129">
        <v>0</v>
      </c>
      <c r="F20" s="129"/>
      <c r="G20" s="129"/>
      <c r="H20" s="129"/>
      <c r="I20" s="129"/>
      <c r="J20" s="129"/>
      <c r="K20" s="129"/>
      <c r="L20" s="129"/>
      <c r="M20" s="129"/>
      <c r="N20" s="129"/>
      <c r="O20" s="299"/>
      <c r="P20" s="286" t="e">
        <f t="shared" si="0"/>
        <v>#DIV/0!</v>
      </c>
    </row>
    <row r="21" spans="1:16" ht="18" customHeight="1" x14ac:dyDescent="0.2">
      <c r="A21" s="25">
        <v>17</v>
      </c>
      <c r="B21" s="26" t="s">
        <v>14</v>
      </c>
      <c r="C21" s="129">
        <v>9009.0499999999993</v>
      </c>
      <c r="D21" s="129">
        <v>7419.04</v>
      </c>
      <c r="E21" s="129">
        <v>5707.61</v>
      </c>
      <c r="F21" s="129"/>
      <c r="G21" s="129"/>
      <c r="H21" s="129"/>
      <c r="I21" s="129"/>
      <c r="J21" s="129"/>
      <c r="K21" s="129"/>
      <c r="L21" s="129"/>
      <c r="M21" s="129"/>
      <c r="N21" s="129"/>
      <c r="O21" s="299"/>
      <c r="P21" s="286" t="e">
        <f t="shared" si="0"/>
        <v>#DIV/0!</v>
      </c>
    </row>
    <row r="22" spans="1:16" ht="18" customHeight="1" x14ac:dyDescent="0.2">
      <c r="A22" s="25">
        <v>18</v>
      </c>
      <c r="B22" s="26" t="s">
        <v>15</v>
      </c>
      <c r="C22" s="129">
        <v>5752.6</v>
      </c>
      <c r="D22" s="129">
        <v>4014.93</v>
      </c>
      <c r="E22" s="129">
        <v>4483.97</v>
      </c>
      <c r="F22" s="129"/>
      <c r="G22" s="129"/>
      <c r="H22" s="129"/>
      <c r="I22" s="129"/>
      <c r="J22" s="129"/>
      <c r="K22" s="129"/>
      <c r="L22" s="129"/>
      <c r="M22" s="129"/>
      <c r="N22" s="129"/>
      <c r="O22" s="299"/>
      <c r="P22" s="286" t="e">
        <f t="shared" si="0"/>
        <v>#DIV/0!</v>
      </c>
    </row>
    <row r="23" spans="1:16" s="48" customFormat="1" ht="18" customHeight="1" x14ac:dyDescent="0.2">
      <c r="A23" s="45">
        <v>5.4166666666666669E-2</v>
      </c>
      <c r="B23" s="153" t="s">
        <v>22</v>
      </c>
      <c r="C23" s="154">
        <f>C22+C21+C20+C19+C18+C17+C16+C15+C14+C13+C12+C11+C10+C9+C8+C7+C6+C5</f>
        <v>108767.21000000002</v>
      </c>
      <c r="D23" s="154">
        <f>D22+D21+D20+D19+D18+D17+D16+D15+D14+D13+D12+D11+D10+D9+D8+D7+D6+D5</f>
        <v>110683.07</v>
      </c>
      <c r="E23" s="154">
        <f>E21+E21+E20+E19+E18+E17+E16+E15+E14+E13+E12+E11+E10+E9+E8+E7+E6+E5</f>
        <v>116091.84</v>
      </c>
      <c r="F23" s="359"/>
      <c r="G23" s="154"/>
      <c r="H23" s="154"/>
      <c r="I23" s="154"/>
      <c r="J23" s="154"/>
      <c r="K23" s="154"/>
      <c r="L23" s="154"/>
      <c r="M23" s="154"/>
      <c r="N23" s="154"/>
      <c r="O23" s="154"/>
      <c r="P23" s="287" t="e">
        <f t="shared" si="0"/>
        <v>#DIV/0!</v>
      </c>
    </row>
    <row r="24" spans="1:16" ht="18" customHeight="1" x14ac:dyDescent="0.2">
      <c r="A24" s="30">
        <v>20</v>
      </c>
      <c r="B24" s="31" t="s">
        <v>16</v>
      </c>
      <c r="C24" s="130">
        <v>0</v>
      </c>
      <c r="D24" s="130">
        <v>0</v>
      </c>
      <c r="E24" s="130">
        <v>0</v>
      </c>
      <c r="F24" s="130"/>
      <c r="G24" s="130"/>
      <c r="H24" s="130"/>
      <c r="I24" s="130"/>
      <c r="J24" s="130"/>
      <c r="K24" s="130"/>
      <c r="L24" s="130"/>
      <c r="M24" s="130"/>
      <c r="N24" s="130"/>
      <c r="O24" s="300"/>
      <c r="P24" s="333" t="e">
        <f t="shared" si="0"/>
        <v>#DIV/0!</v>
      </c>
    </row>
    <row r="25" spans="1:16" ht="18" customHeight="1" x14ac:dyDescent="0.2">
      <c r="A25" s="30">
        <v>21</v>
      </c>
      <c r="B25" s="26" t="s">
        <v>84</v>
      </c>
      <c r="C25" s="130">
        <v>0</v>
      </c>
      <c r="D25" s="130">
        <v>0</v>
      </c>
      <c r="E25" s="130">
        <v>0</v>
      </c>
      <c r="F25" s="130"/>
      <c r="G25" s="130"/>
      <c r="H25" s="130"/>
      <c r="I25" s="130"/>
      <c r="J25" s="130"/>
      <c r="K25" s="130"/>
      <c r="L25" s="130"/>
      <c r="M25" s="130"/>
      <c r="N25" s="130"/>
      <c r="O25" s="300"/>
      <c r="P25" s="333" t="e">
        <f t="shared" si="0"/>
        <v>#DIV/0!</v>
      </c>
    </row>
    <row r="26" spans="1:16" s="48" customFormat="1" ht="18" customHeight="1" x14ac:dyDescent="0.2">
      <c r="A26" s="49" t="s">
        <v>24</v>
      </c>
      <c r="B26" s="151" t="s">
        <v>23</v>
      </c>
      <c r="C26" s="152">
        <v>0</v>
      </c>
      <c r="D26" s="152">
        <v>0</v>
      </c>
      <c r="E26" s="152">
        <v>0</v>
      </c>
      <c r="F26" s="152"/>
      <c r="G26" s="152"/>
      <c r="H26" s="152"/>
      <c r="I26" s="152"/>
      <c r="J26" s="152"/>
      <c r="K26" s="152"/>
      <c r="L26" s="152"/>
      <c r="M26" s="152"/>
      <c r="N26" s="152"/>
      <c r="O26" s="301"/>
      <c r="P26" s="288" t="e">
        <f t="shared" si="0"/>
        <v>#DIV/0!</v>
      </c>
    </row>
    <row r="27" spans="1:16" s="55" customFormat="1" ht="18" customHeight="1" x14ac:dyDescent="0.2">
      <c r="A27" s="202" t="s">
        <v>26</v>
      </c>
      <c r="B27" s="207" t="s">
        <v>25</v>
      </c>
      <c r="C27" s="208">
        <f>C23</f>
        <v>108767.21000000002</v>
      </c>
      <c r="D27" s="208">
        <f>D23</f>
        <v>110683.07</v>
      </c>
      <c r="E27" s="208">
        <f>E23</f>
        <v>116091.84</v>
      </c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77" t="e">
        <f t="shared" si="0"/>
        <v>#DIV/0!</v>
      </c>
    </row>
    <row r="28" spans="1:16" ht="16.5" customHeight="1" x14ac:dyDescent="0.2">
      <c r="D28" s="125" t="s">
        <v>82</v>
      </c>
    </row>
    <row r="29" spans="1:16" ht="16.5" customHeight="1" x14ac:dyDescent="0.2">
      <c r="G29" s="109"/>
      <c r="H29" s="110" t="s">
        <v>48</v>
      </c>
      <c r="I29" s="109"/>
      <c r="J29" s="109"/>
      <c r="K29" s="109"/>
      <c r="L29" s="111"/>
      <c r="M29" s="109" t="s">
        <v>49</v>
      </c>
      <c r="N29" s="112"/>
    </row>
    <row r="30" spans="1:16" ht="16.5" customHeight="1" x14ac:dyDescent="0.2">
      <c r="G30" s="109"/>
      <c r="H30" s="109" t="s">
        <v>50</v>
      </c>
      <c r="I30" s="109"/>
      <c r="J30" s="109"/>
      <c r="K30" s="109"/>
      <c r="L30" s="111"/>
      <c r="M30" s="109" t="s">
        <v>51</v>
      </c>
      <c r="N30" s="112"/>
    </row>
    <row r="31" spans="1:16" ht="16.5" customHeight="1" x14ac:dyDescent="0.2">
      <c r="G31" s="109"/>
      <c r="H31" s="111" t="s">
        <v>52</v>
      </c>
      <c r="I31" s="111"/>
      <c r="J31" s="111"/>
      <c r="K31" s="109"/>
      <c r="L31" s="111"/>
      <c r="M31" s="109" t="s">
        <v>53</v>
      </c>
      <c r="N31" s="112"/>
    </row>
    <row r="32" spans="1:16" ht="16.5" customHeight="1" x14ac:dyDescent="0.2">
      <c r="G32" s="111"/>
      <c r="H32" s="111"/>
      <c r="I32" s="111"/>
      <c r="J32" s="111"/>
      <c r="K32" s="109"/>
      <c r="L32" s="111"/>
      <c r="M32" s="111"/>
      <c r="N32" s="113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33"/>
  <sheetViews>
    <sheetView showGridLines="0" workbookViewId="0">
      <selection activeCell="C26" sqref="C26:N26"/>
    </sheetView>
  </sheetViews>
  <sheetFormatPr defaultRowHeight="19.5" customHeight="1" x14ac:dyDescent="0.45"/>
  <cols>
    <col min="1" max="1" width="5.75" style="61" customWidth="1"/>
    <col min="2" max="2" width="15.875" style="193" customWidth="1"/>
    <col min="3" max="14" width="8.625" style="107" customWidth="1"/>
    <col min="15" max="15" width="9.75" style="309" customWidth="1"/>
    <col min="16" max="16" width="12" style="316" customWidth="1"/>
    <col min="17" max="16384" width="9" style="61"/>
  </cols>
  <sheetData>
    <row r="1" spans="1:17" s="144" customFormat="1" ht="19.5" customHeight="1" x14ac:dyDescent="0.2">
      <c r="A1" s="138"/>
      <c r="B1" s="139"/>
      <c r="C1" s="140"/>
      <c r="D1" s="141" t="s">
        <v>43</v>
      </c>
      <c r="E1" s="140"/>
      <c r="F1" s="140"/>
      <c r="G1" s="140"/>
      <c r="H1" s="140"/>
      <c r="I1" s="142"/>
      <c r="J1" s="142"/>
      <c r="K1" s="141" t="str">
        <f>สรุปยอด!C3</f>
        <v xml:space="preserve"> ปีงบประมาณ   2563</v>
      </c>
      <c r="L1" s="140"/>
      <c r="M1" s="140"/>
      <c r="N1" s="140"/>
      <c r="O1" s="140"/>
      <c r="P1" s="315"/>
      <c r="Q1" s="143"/>
    </row>
    <row r="2" spans="1:17" s="144" customFormat="1" ht="19.5" customHeight="1" x14ac:dyDescent="0.2">
      <c r="A2" s="138"/>
      <c r="B2" s="139"/>
      <c r="C2" s="141" t="str">
        <f>'[1]1.1.ยา(ทั่วไป)'!C2</f>
        <v>จาก ฝ่ายเภสัชกรรมชุมชน  โรงพยาบาลกุมภวาปี</v>
      </c>
      <c r="D2" s="140"/>
      <c r="E2" s="142"/>
      <c r="F2" s="140"/>
      <c r="G2" s="140"/>
      <c r="H2" s="142"/>
      <c r="I2" s="140"/>
      <c r="J2" s="140"/>
      <c r="K2" s="140"/>
      <c r="L2" s="142"/>
      <c r="M2" s="145"/>
      <c r="N2" s="146" t="str">
        <f>สรุปยอด!D4</f>
        <v>รายงานข้อมูลณ วันที่ 28/12/63</v>
      </c>
      <c r="O2" s="140"/>
      <c r="P2" s="315"/>
      <c r="Q2" s="143"/>
    </row>
    <row r="3" spans="1:17" ht="5.25" customHeight="1" x14ac:dyDescent="0.45"/>
    <row r="4" spans="1:17" s="165" customFormat="1" ht="31.5" customHeight="1" x14ac:dyDescent="0.45">
      <c r="A4" s="167" t="s">
        <v>0</v>
      </c>
      <c r="B4" s="196" t="s">
        <v>1</v>
      </c>
      <c r="C4" s="197" t="s">
        <v>27</v>
      </c>
      <c r="D4" s="197" t="s">
        <v>28</v>
      </c>
      <c r="E4" s="197" t="s">
        <v>29</v>
      </c>
      <c r="F4" s="197" t="s">
        <v>30</v>
      </c>
      <c r="G4" s="197" t="s">
        <v>31</v>
      </c>
      <c r="H4" s="197" t="s">
        <v>32</v>
      </c>
      <c r="I4" s="197" t="s">
        <v>33</v>
      </c>
      <c r="J4" s="197" t="s">
        <v>34</v>
      </c>
      <c r="K4" s="197" t="s">
        <v>35</v>
      </c>
      <c r="L4" s="197" t="s">
        <v>36</v>
      </c>
      <c r="M4" s="197" t="s">
        <v>37</v>
      </c>
      <c r="N4" s="197" t="s">
        <v>38</v>
      </c>
      <c r="O4" s="198" t="s">
        <v>39</v>
      </c>
      <c r="P4" s="317" t="s">
        <v>40</v>
      </c>
    </row>
    <row r="5" spans="1:17" ht="19.5" customHeight="1" x14ac:dyDescent="0.45">
      <c r="A5" s="25">
        <v>1</v>
      </c>
      <c r="B5" s="26" t="s">
        <v>18</v>
      </c>
      <c r="C5" s="192">
        <f>'1.ยาทั่วไป'!C5+'2.ยาแพทย์ PCC'!C5+'3.ยาเรื้อรัง 20%'!C5+'4.ยาเรื้อรังฟรี'!C5</f>
        <v>79211.58</v>
      </c>
      <c r="D5" s="192">
        <f>'1.ยาทั่วไป'!D5+'2.ยาแพทย์ PCC'!D5+'3.ยาเรื้อรัง 20%'!D5+'4.ยาเรื้อรังฟรี'!D5</f>
        <v>69785.08</v>
      </c>
      <c r="E5" s="192">
        <f>'1.ยาทั่วไป'!E5+'2.ยาแพทย์ PCC'!E5+'3.ยาเรื้อรัง 20%'!E5+'4.ยาเรื้อรังฟรี'!E5</f>
        <v>83881.3</v>
      </c>
      <c r="F5" s="192">
        <f>'1.ยาทั่วไป'!F5+'2.ยาแพทย์ PCC'!F5+'3.ยาเรื้อรัง 20%'!F5+'4.ยาเรื้อรังฟรี'!F5</f>
        <v>0</v>
      </c>
      <c r="G5" s="192">
        <f>'1.ยาทั่วไป'!G5+'2.ยาแพทย์ PCC'!G5+'3.ยาเรื้อรัง 20%'!G5+'4.ยาเรื้อรังฟรี'!G5</f>
        <v>0</v>
      </c>
      <c r="H5" s="192">
        <f>'1.ยาทั่วไป'!H5+'2.ยาแพทย์ PCC'!H5+'3.ยาเรื้อรัง 20%'!H5+'4.ยาเรื้อรังฟรี'!H5</f>
        <v>0</v>
      </c>
      <c r="I5" s="192">
        <f>'1.ยาทั่วไป'!I5+'2.ยาแพทย์ PCC'!I5+'3.ยาเรื้อรัง 20%'!I5+'4.ยาเรื้อรังฟรี'!I5</f>
        <v>0</v>
      </c>
      <c r="J5" s="192">
        <f>'1.ยาทั่วไป'!J5+'2.ยาแพทย์ PCC'!J5+'3.ยาเรื้อรัง 20%'!J5+'4.ยาเรื้อรังฟรี'!J5</f>
        <v>0</v>
      </c>
      <c r="K5" s="192">
        <f>'1.ยาทั่วไป'!K5+'2.ยาแพทย์ PCC'!K5+'3.ยาเรื้อรัง 20%'!K5+'4.ยาเรื้อรังฟรี'!K5</f>
        <v>0</v>
      </c>
      <c r="L5" s="192">
        <f>'1.ยาทั่วไป'!L5+'2.ยาแพทย์ PCC'!L5+'3.ยาเรื้อรัง 20%'!L5+'4.ยาเรื้อรังฟรี'!L5</f>
        <v>0</v>
      </c>
      <c r="M5" s="192">
        <f>'1.ยาทั่วไป'!M5+'2.ยาแพทย์ PCC'!M5+'3.ยาเรื้อรัง 20%'!M5+'4.ยาเรื้อรังฟรี'!M5</f>
        <v>0</v>
      </c>
      <c r="N5" s="192">
        <f>'1.ยาทั่วไป'!N5+'2.ยาแพทย์ PCC'!N5+'3.ยาเรื้อรัง 20%'!N5+'4.ยาเรื้อรังฟรี'!N5</f>
        <v>0</v>
      </c>
      <c r="O5" s="310">
        <f>SUM(C5:N5)</f>
        <v>232877.96000000002</v>
      </c>
      <c r="P5" s="313">
        <f t="shared" ref="P5:P27" si="0">O5/$O$23</f>
        <v>0.18638720698332586</v>
      </c>
    </row>
    <row r="6" spans="1:17" ht="19.5" customHeight="1" x14ac:dyDescent="0.45">
      <c r="A6" s="25">
        <v>2</v>
      </c>
      <c r="B6" s="26" t="s">
        <v>19</v>
      </c>
      <c r="C6" s="192">
        <f>'1.ยาทั่วไป'!C6+'2.ยาแพทย์ PCC'!C6+'3.ยาเรื้อรัง 20%'!C6+'4.ยาเรื้อรังฟรี'!C6</f>
        <v>46682.400000000001</v>
      </c>
      <c r="D6" s="192">
        <f>'1.ยาทั่วไป'!D6+'2.ยาแพทย์ PCC'!D6+'3.ยาเรื้อรัง 20%'!D6+'4.ยาเรื้อรังฟรี'!D6</f>
        <v>37721.65</v>
      </c>
      <c r="E6" s="192">
        <f>'1.ยาทั่วไป'!E6+'2.ยาแพทย์ PCC'!E6+'3.ยาเรื้อรัง 20%'!E6+'4.ยาเรื้อรังฟรี'!E6</f>
        <v>51572</v>
      </c>
      <c r="F6" s="192">
        <f>'1.ยาทั่วไป'!F6+'2.ยาแพทย์ PCC'!F6+'3.ยาเรื้อรัง 20%'!F6+'4.ยาเรื้อรังฟรี'!F6</f>
        <v>0</v>
      </c>
      <c r="G6" s="192">
        <f>'1.ยาทั่วไป'!G6+'2.ยาแพทย์ PCC'!G6+'3.ยาเรื้อรัง 20%'!G6+'4.ยาเรื้อรังฟรี'!G6</f>
        <v>0</v>
      </c>
      <c r="H6" s="192">
        <f>'1.ยาทั่วไป'!H6+'2.ยาแพทย์ PCC'!H6+'3.ยาเรื้อรัง 20%'!H6+'4.ยาเรื้อรังฟรี'!H6</f>
        <v>0</v>
      </c>
      <c r="I6" s="192">
        <f>'1.ยาทั่วไป'!I6+'2.ยาแพทย์ PCC'!I6+'3.ยาเรื้อรัง 20%'!I6+'4.ยาเรื้อรังฟรี'!I6</f>
        <v>0</v>
      </c>
      <c r="J6" s="192">
        <f>'1.ยาทั่วไป'!J6+'2.ยาแพทย์ PCC'!J6+'3.ยาเรื้อรัง 20%'!J6+'4.ยาเรื้อรังฟรี'!J6</f>
        <v>0</v>
      </c>
      <c r="K6" s="192">
        <f>'1.ยาทั่วไป'!K6+'2.ยาแพทย์ PCC'!K6+'3.ยาเรื้อรัง 20%'!K6+'4.ยาเรื้อรังฟรี'!K6</f>
        <v>0</v>
      </c>
      <c r="L6" s="192">
        <f>'1.ยาทั่วไป'!L6+'2.ยาแพทย์ PCC'!L6+'3.ยาเรื้อรัง 20%'!L6+'4.ยาเรื้อรังฟรี'!L6</f>
        <v>0</v>
      </c>
      <c r="M6" s="192">
        <f>'1.ยาทั่วไป'!M6+'2.ยาแพทย์ PCC'!M6+'3.ยาเรื้อรัง 20%'!M6+'4.ยาเรื้อรังฟรี'!M6</f>
        <v>0</v>
      </c>
      <c r="N6" s="192">
        <f>'1.ยาทั่วไป'!N6+'2.ยาแพทย์ PCC'!N6+'3.ยาเรื้อรัง 20%'!N6+'4.ยาเรื้อรังฟรี'!N6</f>
        <v>0</v>
      </c>
      <c r="O6" s="310">
        <f>SUM(C6:N6)</f>
        <v>135976.04999999999</v>
      </c>
      <c r="P6" s="313">
        <f t="shared" si="0"/>
        <v>0.10883037697567026</v>
      </c>
    </row>
    <row r="7" spans="1:17" ht="19.5" customHeight="1" x14ac:dyDescent="0.45">
      <c r="A7" s="25">
        <v>3</v>
      </c>
      <c r="B7" s="26" t="s">
        <v>20</v>
      </c>
      <c r="C7" s="192">
        <f>'1.ยาทั่วไป'!C7+'2.ยาแพทย์ PCC'!C7+'3.ยาเรื้อรัง 20%'!C7+'4.ยาเรื้อรังฟรี'!C7</f>
        <v>27500.440000000002</v>
      </c>
      <c r="D7" s="192">
        <f>'1.ยาทั่วไป'!D7+'2.ยาแพทย์ PCC'!D7+'3.ยาเรื้อรัง 20%'!D7+'4.ยาเรื้อรังฟรี'!D7</f>
        <v>20089.77</v>
      </c>
      <c r="E7" s="192">
        <f>'1.ยาทั่วไป'!E7+'2.ยาแพทย์ PCC'!E7+'3.ยาเรื้อรัง 20%'!E7+'4.ยาเรื้อรังฟรี'!E7</f>
        <v>12002.65</v>
      </c>
      <c r="F7" s="192">
        <f>'1.ยาทั่วไป'!F7+'2.ยาแพทย์ PCC'!F7+'3.ยาเรื้อรัง 20%'!F7+'4.ยาเรื้อรังฟรี'!F7</f>
        <v>0</v>
      </c>
      <c r="G7" s="192">
        <f>'1.ยาทั่วไป'!G7+'2.ยาแพทย์ PCC'!G7+'3.ยาเรื้อรัง 20%'!G7+'4.ยาเรื้อรังฟรี'!G7</f>
        <v>0</v>
      </c>
      <c r="H7" s="192">
        <f>'1.ยาทั่วไป'!H7+'2.ยาแพทย์ PCC'!H7+'3.ยาเรื้อรัง 20%'!H7+'4.ยาเรื้อรังฟรี'!H7</f>
        <v>0</v>
      </c>
      <c r="I7" s="192">
        <f>'1.ยาทั่วไป'!I7+'2.ยาแพทย์ PCC'!I7+'3.ยาเรื้อรัง 20%'!I7+'4.ยาเรื้อรังฟรี'!I7</f>
        <v>0</v>
      </c>
      <c r="J7" s="192">
        <f>'1.ยาทั่วไป'!J7+'2.ยาแพทย์ PCC'!J7+'3.ยาเรื้อรัง 20%'!J7+'4.ยาเรื้อรังฟรี'!J7</f>
        <v>0</v>
      </c>
      <c r="K7" s="192">
        <f>'1.ยาทั่วไป'!K7+'2.ยาแพทย์ PCC'!K7+'3.ยาเรื้อรัง 20%'!K7+'4.ยาเรื้อรังฟรี'!K7</f>
        <v>0</v>
      </c>
      <c r="L7" s="192">
        <f>'1.ยาทั่วไป'!L7+'2.ยาแพทย์ PCC'!L7+'3.ยาเรื้อรัง 20%'!L7+'4.ยาเรื้อรังฟรี'!L7</f>
        <v>0</v>
      </c>
      <c r="M7" s="192">
        <f>'1.ยาทั่วไป'!M7+'2.ยาแพทย์ PCC'!M7+'3.ยาเรื้อรัง 20%'!M7+'4.ยาเรื้อรังฟรี'!M7</f>
        <v>0</v>
      </c>
      <c r="N7" s="192">
        <f>'1.ยาทั่วไป'!N7+'2.ยาแพทย์ PCC'!N7+'3.ยาเรื้อรัง 20%'!N7+'4.ยาเรื้อรังฟรี'!N7</f>
        <v>0</v>
      </c>
      <c r="O7" s="310">
        <f t="shared" ref="O7:O22" si="1">SUM(C7:N7)</f>
        <v>59592.860000000008</v>
      </c>
      <c r="P7" s="313">
        <f t="shared" si="0"/>
        <v>4.7695998073619163E-2</v>
      </c>
    </row>
    <row r="8" spans="1:17" ht="19.5" customHeight="1" x14ac:dyDescent="0.45">
      <c r="A8" s="25">
        <v>4</v>
      </c>
      <c r="B8" s="26" t="s">
        <v>21</v>
      </c>
      <c r="C8" s="192">
        <f>'1.ยาทั่วไป'!C8+'2.ยาแพทย์ PCC'!C8+'3.ยาเรื้อรัง 20%'!C8+'4.ยาเรื้อรังฟรี'!C8</f>
        <v>2700</v>
      </c>
      <c r="D8" s="192">
        <f>'1.ยาทั่วไป'!D8+'2.ยาแพทย์ PCC'!D8+'3.ยาเรื้อรัง 20%'!D8+'4.ยาเรื้อรังฟรี'!D8</f>
        <v>56356.95</v>
      </c>
      <c r="E8" s="192">
        <f>'1.ยาทั่วไป'!E8+'2.ยาแพทย์ PCC'!E8+'3.ยาเรื้อรัง 20%'!E8+'4.ยาเรื้อรังฟรี'!E8</f>
        <v>64565.8</v>
      </c>
      <c r="F8" s="192">
        <f>'1.ยาทั่วไป'!F8+'2.ยาแพทย์ PCC'!F8+'3.ยาเรื้อรัง 20%'!F8+'4.ยาเรื้อรังฟรี'!F8</f>
        <v>0</v>
      </c>
      <c r="G8" s="192">
        <f>'1.ยาทั่วไป'!G8+'2.ยาแพทย์ PCC'!G8+'3.ยาเรื้อรัง 20%'!G8+'4.ยาเรื้อรังฟรี'!G8</f>
        <v>0</v>
      </c>
      <c r="H8" s="192">
        <f>'1.ยาทั่วไป'!H8+'2.ยาแพทย์ PCC'!H8+'3.ยาเรื้อรัง 20%'!H8+'4.ยาเรื้อรังฟรี'!H8</f>
        <v>0</v>
      </c>
      <c r="I8" s="192">
        <f>'1.ยาทั่วไป'!I8+'2.ยาแพทย์ PCC'!I8+'3.ยาเรื้อรัง 20%'!I8+'4.ยาเรื้อรังฟรี'!I8</f>
        <v>0</v>
      </c>
      <c r="J8" s="192">
        <f>'1.ยาทั่วไป'!J8+'2.ยาแพทย์ PCC'!J8+'3.ยาเรื้อรัง 20%'!J8+'4.ยาเรื้อรังฟรี'!J8</f>
        <v>0</v>
      </c>
      <c r="K8" s="192">
        <f>'1.ยาทั่วไป'!K8+'2.ยาแพทย์ PCC'!K8+'3.ยาเรื้อรัง 20%'!K8+'4.ยาเรื้อรังฟรี'!K8</f>
        <v>0</v>
      </c>
      <c r="L8" s="192">
        <f>'1.ยาทั่วไป'!L8+'2.ยาแพทย์ PCC'!L8+'3.ยาเรื้อรัง 20%'!L8+'4.ยาเรื้อรังฟรี'!L8</f>
        <v>0</v>
      </c>
      <c r="M8" s="192">
        <f>'1.ยาทั่วไป'!M8+'2.ยาแพทย์ PCC'!M8+'3.ยาเรื้อรัง 20%'!M8+'4.ยาเรื้อรังฟรี'!M8</f>
        <v>0</v>
      </c>
      <c r="N8" s="192">
        <f>'1.ยาทั่วไป'!N8+'2.ยาแพทย์ PCC'!N8+'3.ยาเรื้อรัง 20%'!N8+'4.ยาเรื้อรังฟรี'!N8</f>
        <v>0</v>
      </c>
      <c r="O8" s="310">
        <f t="shared" si="1"/>
        <v>123622.75</v>
      </c>
      <c r="P8" s="313">
        <f t="shared" si="0"/>
        <v>9.8943236586656561E-2</v>
      </c>
    </row>
    <row r="9" spans="1:17" ht="19.5" customHeight="1" x14ac:dyDescent="0.45">
      <c r="A9" s="25">
        <v>5</v>
      </c>
      <c r="B9" s="26" t="s">
        <v>2</v>
      </c>
      <c r="C9" s="192">
        <f>'1.ยาทั่วไป'!C9+'2.ยาแพทย์ PCC'!C9+'3.ยาเรื้อรัง 20%'!C9+'4.ยาเรื้อรังฟรี'!C9</f>
        <v>9201.119999999999</v>
      </c>
      <c r="D9" s="192">
        <f>'1.ยาทั่วไป'!D9+'2.ยาแพทย์ PCC'!D9+'3.ยาเรื้อรัง 20%'!D9+'4.ยาเรื้อรังฟรี'!D9</f>
        <v>26251.809999999998</v>
      </c>
      <c r="E9" s="192">
        <f>'1.ยาทั่วไป'!E9+'2.ยาแพทย์ PCC'!E9+'3.ยาเรื้อรัง 20%'!E9+'4.ยาเรื้อรังฟรี'!E9</f>
        <v>23945.68</v>
      </c>
      <c r="F9" s="192">
        <f>'1.ยาทั่วไป'!F9+'2.ยาแพทย์ PCC'!F9+'3.ยาเรื้อรัง 20%'!F9+'4.ยาเรื้อรังฟรี'!F9</f>
        <v>0</v>
      </c>
      <c r="G9" s="192">
        <f>'1.ยาทั่วไป'!G9+'2.ยาแพทย์ PCC'!G9+'3.ยาเรื้อรัง 20%'!G9+'4.ยาเรื้อรังฟรี'!G9</f>
        <v>0</v>
      </c>
      <c r="H9" s="192">
        <f>'1.ยาทั่วไป'!H9+'2.ยาแพทย์ PCC'!H9+'3.ยาเรื้อรัง 20%'!H9+'4.ยาเรื้อรังฟรี'!H9</f>
        <v>0</v>
      </c>
      <c r="I9" s="192">
        <f>'1.ยาทั่วไป'!I9+'2.ยาแพทย์ PCC'!I9+'3.ยาเรื้อรัง 20%'!I9+'4.ยาเรื้อรังฟรี'!I9</f>
        <v>0</v>
      </c>
      <c r="J9" s="192">
        <f>'1.ยาทั่วไป'!J9+'2.ยาแพทย์ PCC'!J9+'3.ยาเรื้อรัง 20%'!J9+'4.ยาเรื้อรังฟรี'!J9</f>
        <v>0</v>
      </c>
      <c r="K9" s="192">
        <f>'1.ยาทั่วไป'!K9+'2.ยาแพทย์ PCC'!K9+'3.ยาเรื้อรัง 20%'!K9+'4.ยาเรื้อรังฟรี'!K9</f>
        <v>0</v>
      </c>
      <c r="L9" s="192">
        <f>'1.ยาทั่วไป'!L9+'2.ยาแพทย์ PCC'!L9+'3.ยาเรื้อรัง 20%'!L9+'4.ยาเรื้อรังฟรี'!L9</f>
        <v>0</v>
      </c>
      <c r="M9" s="192">
        <f>'1.ยาทั่วไป'!M9+'2.ยาแพทย์ PCC'!M9+'3.ยาเรื้อรัง 20%'!M9+'4.ยาเรื้อรังฟรี'!M9</f>
        <v>0</v>
      </c>
      <c r="N9" s="192">
        <f>'1.ยาทั่วไป'!N9+'2.ยาแพทย์ PCC'!N9+'3.ยาเรื้อรัง 20%'!N9+'4.ยาเรื้อรังฟรี'!N9</f>
        <v>0</v>
      </c>
      <c r="O9" s="310">
        <f t="shared" si="1"/>
        <v>59398.609999999993</v>
      </c>
      <c r="P9" s="313">
        <f t="shared" si="0"/>
        <v>4.754052730705751E-2</v>
      </c>
    </row>
    <row r="10" spans="1:17" ht="19.5" customHeight="1" x14ac:dyDescent="0.45">
      <c r="A10" s="25">
        <v>6</v>
      </c>
      <c r="B10" s="26" t="s">
        <v>3</v>
      </c>
      <c r="C10" s="192">
        <f>'1.ยาทั่วไป'!C10+'2.ยาแพทย์ PCC'!C10+'3.ยาเรื้อรัง 20%'!C10+'4.ยาเรื้อรังฟรี'!C10</f>
        <v>11786.29</v>
      </c>
      <c r="D10" s="192">
        <f>'1.ยาทั่วไป'!D10+'2.ยาแพทย์ PCC'!D10+'3.ยาเรื้อรัง 20%'!D10+'4.ยาเรื้อรังฟรี'!D10</f>
        <v>25912.05</v>
      </c>
      <c r="E10" s="192">
        <f>'1.ยาทั่วไป'!E10+'2.ยาแพทย์ PCC'!E10+'3.ยาเรื้อรัง 20%'!E10+'4.ยาเรื้อรังฟรี'!E10</f>
        <v>9521</v>
      </c>
      <c r="F10" s="192">
        <f>'1.ยาทั่วไป'!F10+'2.ยาแพทย์ PCC'!F10+'3.ยาเรื้อรัง 20%'!F10+'4.ยาเรื้อรังฟรี'!F10</f>
        <v>0</v>
      </c>
      <c r="G10" s="192">
        <f>'1.ยาทั่วไป'!G10+'2.ยาแพทย์ PCC'!G10+'3.ยาเรื้อรัง 20%'!G10+'4.ยาเรื้อรังฟรี'!G10</f>
        <v>0</v>
      </c>
      <c r="H10" s="192">
        <f>'1.ยาทั่วไป'!H10+'2.ยาแพทย์ PCC'!H10+'3.ยาเรื้อรัง 20%'!H10+'4.ยาเรื้อรังฟรี'!H10</f>
        <v>0</v>
      </c>
      <c r="I10" s="192">
        <f>'1.ยาทั่วไป'!I10+'2.ยาแพทย์ PCC'!I10+'3.ยาเรื้อรัง 20%'!I10+'4.ยาเรื้อรังฟรี'!I10</f>
        <v>0</v>
      </c>
      <c r="J10" s="192">
        <f>'1.ยาทั่วไป'!J10+'2.ยาแพทย์ PCC'!J10+'3.ยาเรื้อรัง 20%'!J10+'4.ยาเรื้อรังฟรี'!J10</f>
        <v>0</v>
      </c>
      <c r="K10" s="192">
        <f>'1.ยาทั่วไป'!K10+'2.ยาแพทย์ PCC'!K10+'3.ยาเรื้อรัง 20%'!K10+'4.ยาเรื้อรังฟรี'!K10</f>
        <v>0</v>
      </c>
      <c r="L10" s="192">
        <f>'1.ยาทั่วไป'!L10+'2.ยาแพทย์ PCC'!L10+'3.ยาเรื้อรัง 20%'!L10+'4.ยาเรื้อรังฟรี'!L10</f>
        <v>0</v>
      </c>
      <c r="M10" s="192">
        <f>'1.ยาทั่วไป'!M10+'2.ยาแพทย์ PCC'!M10+'3.ยาเรื้อรัง 20%'!M10+'4.ยาเรื้อรังฟรี'!M10</f>
        <v>0</v>
      </c>
      <c r="N10" s="192">
        <f>'1.ยาทั่วไป'!N10+'2.ยาแพทย์ PCC'!N10+'3.ยาเรื้อรัง 20%'!N10+'4.ยาเรื้อรังฟรี'!N10</f>
        <v>0</v>
      </c>
      <c r="O10" s="310">
        <f t="shared" si="1"/>
        <v>47219.34</v>
      </c>
      <c r="P10" s="313">
        <f t="shared" si="0"/>
        <v>3.7792674318325517E-2</v>
      </c>
    </row>
    <row r="11" spans="1:17" ht="19.5" customHeight="1" x14ac:dyDescent="0.45">
      <c r="A11" s="25">
        <v>7</v>
      </c>
      <c r="B11" s="26" t="s">
        <v>4</v>
      </c>
      <c r="C11" s="192">
        <f>'1.ยาทั่วไป'!C11+'2.ยาแพทย์ PCC'!C11+'3.ยาเรื้อรัง 20%'!C11+'4.ยาเรื้อรังฟรี'!C11</f>
        <v>3899</v>
      </c>
      <c r="D11" s="192">
        <f>'1.ยาทั่วไป'!D11+'2.ยาแพทย์ PCC'!D11+'3.ยาเรื้อรัง 20%'!D11+'4.ยาเรื้อรังฟรี'!D11</f>
        <v>15740.26</v>
      </c>
      <c r="E11" s="192">
        <f>'1.ยาทั่วไป'!E11+'2.ยาแพทย์ PCC'!E11+'3.ยาเรื้อรัง 20%'!E11+'4.ยาเรื้อรังฟรี'!E11</f>
        <v>13246.630000000001</v>
      </c>
      <c r="F11" s="192">
        <f>'1.ยาทั่วไป'!F11+'2.ยาแพทย์ PCC'!F11+'3.ยาเรื้อรัง 20%'!F11+'4.ยาเรื้อรังฟรี'!F11</f>
        <v>0</v>
      </c>
      <c r="G11" s="192">
        <f>'1.ยาทั่วไป'!G11+'2.ยาแพทย์ PCC'!G11+'3.ยาเรื้อรัง 20%'!G11+'4.ยาเรื้อรังฟรี'!G11</f>
        <v>0</v>
      </c>
      <c r="H11" s="192">
        <f>'1.ยาทั่วไป'!H11+'2.ยาแพทย์ PCC'!H11+'3.ยาเรื้อรัง 20%'!H11+'4.ยาเรื้อรังฟรี'!H11</f>
        <v>0</v>
      </c>
      <c r="I11" s="192">
        <f>'1.ยาทั่วไป'!I11+'2.ยาแพทย์ PCC'!I11+'3.ยาเรื้อรัง 20%'!I11+'4.ยาเรื้อรังฟรี'!I11</f>
        <v>0</v>
      </c>
      <c r="J11" s="192">
        <f>'1.ยาทั่วไป'!J11+'2.ยาแพทย์ PCC'!J11+'3.ยาเรื้อรัง 20%'!J11+'4.ยาเรื้อรังฟรี'!J11</f>
        <v>0</v>
      </c>
      <c r="K11" s="192">
        <f>'1.ยาทั่วไป'!K11+'2.ยาแพทย์ PCC'!K11+'3.ยาเรื้อรัง 20%'!K11+'4.ยาเรื้อรังฟรี'!K11</f>
        <v>0</v>
      </c>
      <c r="L11" s="192">
        <f>'1.ยาทั่วไป'!L11+'2.ยาแพทย์ PCC'!L11+'3.ยาเรื้อรัง 20%'!L11+'4.ยาเรื้อรังฟรี'!L11</f>
        <v>0</v>
      </c>
      <c r="M11" s="192">
        <f>'1.ยาทั่วไป'!M11+'2.ยาแพทย์ PCC'!M11+'3.ยาเรื้อรัง 20%'!M11+'4.ยาเรื้อรังฟรี'!M11</f>
        <v>0</v>
      </c>
      <c r="N11" s="192">
        <f>'1.ยาทั่วไป'!N11+'2.ยาแพทย์ PCC'!N11+'3.ยาเรื้อรัง 20%'!N11+'4.ยาเรื้อรังฟรี'!N11</f>
        <v>0</v>
      </c>
      <c r="O11" s="310">
        <f t="shared" si="1"/>
        <v>32885.89</v>
      </c>
      <c r="P11" s="313">
        <f t="shared" si="0"/>
        <v>2.6320692547551022E-2</v>
      </c>
    </row>
    <row r="12" spans="1:17" ht="19.5" customHeight="1" x14ac:dyDescent="0.45">
      <c r="A12" s="25">
        <v>8</v>
      </c>
      <c r="B12" s="26" t="s">
        <v>5</v>
      </c>
      <c r="C12" s="192">
        <f>'1.ยาทั่วไป'!C12+'2.ยาแพทย์ PCC'!C12+'3.ยาเรื้อรัง 20%'!C12+'4.ยาเรื้อรังฟรี'!C12</f>
        <v>32993</v>
      </c>
      <c r="D12" s="192">
        <f>'1.ยาทั่วไป'!D12+'2.ยาแพทย์ PCC'!D12+'3.ยาเรื้อรัง 20%'!D12+'4.ยาเรื้อรังฟรี'!D12</f>
        <v>34748.729999999996</v>
      </c>
      <c r="E12" s="192">
        <f>'1.ยาทั่วไป'!E12+'2.ยาแพทย์ PCC'!E12+'3.ยาเรื้อรัง 20%'!E12+'4.ยาเรื้อรังฟรี'!E12</f>
        <v>31878.97</v>
      </c>
      <c r="F12" s="192">
        <f>'1.ยาทั่วไป'!F12+'2.ยาแพทย์ PCC'!F12+'3.ยาเรื้อรัง 20%'!F12+'4.ยาเรื้อรังฟรี'!F12</f>
        <v>0</v>
      </c>
      <c r="G12" s="192">
        <f>'1.ยาทั่วไป'!G12+'2.ยาแพทย์ PCC'!G12+'3.ยาเรื้อรัง 20%'!G12+'4.ยาเรื้อรังฟรี'!G12</f>
        <v>0</v>
      </c>
      <c r="H12" s="192">
        <f>'1.ยาทั่วไป'!H12+'2.ยาแพทย์ PCC'!H12+'3.ยาเรื้อรัง 20%'!H12+'4.ยาเรื้อรังฟรี'!H12</f>
        <v>0</v>
      </c>
      <c r="I12" s="192">
        <f>'1.ยาทั่วไป'!I12+'2.ยาแพทย์ PCC'!I12+'3.ยาเรื้อรัง 20%'!I12+'4.ยาเรื้อรังฟรี'!I12</f>
        <v>0</v>
      </c>
      <c r="J12" s="192">
        <f>'1.ยาทั่วไป'!J12+'2.ยาแพทย์ PCC'!J12+'3.ยาเรื้อรัง 20%'!J12+'4.ยาเรื้อรังฟรี'!J12</f>
        <v>0</v>
      </c>
      <c r="K12" s="192">
        <f>'1.ยาทั่วไป'!K12+'2.ยาแพทย์ PCC'!K12+'3.ยาเรื้อรัง 20%'!K12+'4.ยาเรื้อรังฟรี'!K12</f>
        <v>0</v>
      </c>
      <c r="L12" s="192">
        <f>'1.ยาทั่วไป'!L12+'2.ยาแพทย์ PCC'!L12+'3.ยาเรื้อรัง 20%'!L12+'4.ยาเรื้อรังฟรี'!L12</f>
        <v>0</v>
      </c>
      <c r="M12" s="192">
        <f>'1.ยาทั่วไป'!M12+'2.ยาแพทย์ PCC'!M12+'3.ยาเรื้อรัง 20%'!M12+'4.ยาเรื้อรังฟรี'!M12</f>
        <v>0</v>
      </c>
      <c r="N12" s="192">
        <f>'1.ยาทั่วไป'!N12+'2.ยาแพทย์ PCC'!N12+'3.ยาเรื้อรัง 20%'!N12+'4.ยาเรื้อรังฟรี'!N12</f>
        <v>0</v>
      </c>
      <c r="O12" s="310">
        <f t="shared" si="1"/>
        <v>99620.7</v>
      </c>
      <c r="P12" s="313">
        <f t="shared" si="0"/>
        <v>7.973285248086083E-2</v>
      </c>
    </row>
    <row r="13" spans="1:17" ht="19.5" customHeight="1" x14ac:dyDescent="0.45">
      <c r="A13" s="25">
        <v>9</v>
      </c>
      <c r="B13" s="26" t="s">
        <v>6</v>
      </c>
      <c r="C13" s="192">
        <f>'1.ยาทั่วไป'!C13+'2.ยาแพทย์ PCC'!C13+'3.ยาเรื้อรัง 20%'!C13+'4.ยาเรื้อรังฟรี'!C13</f>
        <v>496</v>
      </c>
      <c r="D13" s="192">
        <f>'1.ยาทั่วไป'!D13+'2.ยาแพทย์ PCC'!D13+'3.ยาเรื้อรัง 20%'!D13+'4.ยาเรื้อรังฟรี'!D13</f>
        <v>26843.43</v>
      </c>
      <c r="E13" s="192">
        <f>'1.ยาทั่วไป'!E13+'2.ยาแพทย์ PCC'!E13+'3.ยาเรื้อรัง 20%'!E13+'4.ยาเรื้อรังฟรี'!E13</f>
        <v>8617.66</v>
      </c>
      <c r="F13" s="192">
        <f>'1.ยาทั่วไป'!F13+'2.ยาแพทย์ PCC'!F13+'3.ยาเรื้อรัง 20%'!F13+'4.ยาเรื้อรังฟรี'!F13</f>
        <v>0</v>
      </c>
      <c r="G13" s="192">
        <f>'1.ยาทั่วไป'!G13+'2.ยาแพทย์ PCC'!G13+'3.ยาเรื้อรัง 20%'!G13+'4.ยาเรื้อรังฟรี'!G13</f>
        <v>0</v>
      </c>
      <c r="H13" s="192">
        <f>'1.ยาทั่วไป'!H13+'2.ยาแพทย์ PCC'!H13+'3.ยาเรื้อรัง 20%'!H13+'4.ยาเรื้อรังฟรี'!H13</f>
        <v>0</v>
      </c>
      <c r="I13" s="192">
        <f>'1.ยาทั่วไป'!I13+'2.ยาแพทย์ PCC'!I13+'3.ยาเรื้อรัง 20%'!I13+'4.ยาเรื้อรังฟรี'!I13</f>
        <v>0</v>
      </c>
      <c r="J13" s="192">
        <f>'1.ยาทั่วไป'!J13+'2.ยาแพทย์ PCC'!J13+'3.ยาเรื้อรัง 20%'!J13+'4.ยาเรื้อรังฟรี'!J13</f>
        <v>0</v>
      </c>
      <c r="K13" s="192">
        <f>'1.ยาทั่วไป'!K13+'2.ยาแพทย์ PCC'!K13+'3.ยาเรื้อรัง 20%'!K13+'4.ยาเรื้อรังฟรี'!K13</f>
        <v>0</v>
      </c>
      <c r="L13" s="192">
        <f>'1.ยาทั่วไป'!L13+'2.ยาแพทย์ PCC'!L13+'3.ยาเรื้อรัง 20%'!L13+'4.ยาเรื้อรังฟรี'!L13</f>
        <v>0</v>
      </c>
      <c r="M13" s="192">
        <f>'1.ยาทั่วไป'!M13+'2.ยาแพทย์ PCC'!M13+'3.ยาเรื้อรัง 20%'!M13+'4.ยาเรื้อรังฟรี'!M13</f>
        <v>0</v>
      </c>
      <c r="N13" s="192">
        <f>'1.ยาทั่วไป'!N13+'2.ยาแพทย์ PCC'!N13+'3.ยาเรื้อรัง 20%'!N13+'4.ยาเรื้อรังฟรี'!N13</f>
        <v>0</v>
      </c>
      <c r="O13" s="310">
        <f t="shared" si="1"/>
        <v>35957.089999999997</v>
      </c>
      <c r="P13" s="313">
        <f t="shared" si="0"/>
        <v>2.8778771406053519E-2</v>
      </c>
    </row>
    <row r="14" spans="1:17" ht="19.5" customHeight="1" x14ac:dyDescent="0.45">
      <c r="A14" s="25">
        <v>10</v>
      </c>
      <c r="B14" s="26" t="s">
        <v>7</v>
      </c>
      <c r="C14" s="192">
        <f>'1.ยาทั่วไป'!C14+'2.ยาแพทย์ PCC'!C14+'3.ยาเรื้อรัง 20%'!C14+'4.ยาเรื้อรังฟรี'!C14</f>
        <v>0</v>
      </c>
      <c r="D14" s="192">
        <f>'1.ยาทั่วไป'!D14+'2.ยาแพทย์ PCC'!D14+'3.ยาเรื้อรัง 20%'!D14+'4.ยาเรื้อรังฟรี'!D14</f>
        <v>27858.489999999998</v>
      </c>
      <c r="E14" s="192">
        <f>'1.ยาทั่วไป'!E14+'2.ยาแพทย์ PCC'!E14+'3.ยาเรื้อรัง 20%'!E14+'4.ยาเรื้อรังฟรี'!E14</f>
        <v>13737.43</v>
      </c>
      <c r="F14" s="192">
        <f>'1.ยาทั่วไป'!F14+'2.ยาแพทย์ PCC'!F14+'3.ยาเรื้อรัง 20%'!F14+'4.ยาเรื้อรังฟรี'!F14</f>
        <v>0</v>
      </c>
      <c r="G14" s="192">
        <f>'1.ยาทั่วไป'!G14+'2.ยาแพทย์ PCC'!G14+'3.ยาเรื้อรัง 20%'!G14+'4.ยาเรื้อรังฟรี'!G14</f>
        <v>0</v>
      </c>
      <c r="H14" s="192">
        <f>'1.ยาทั่วไป'!H14+'2.ยาแพทย์ PCC'!H14+'3.ยาเรื้อรัง 20%'!H14+'4.ยาเรื้อรังฟรี'!H14</f>
        <v>0</v>
      </c>
      <c r="I14" s="192">
        <f>'1.ยาทั่วไป'!I14+'2.ยาแพทย์ PCC'!I14+'3.ยาเรื้อรัง 20%'!I14+'4.ยาเรื้อรังฟรี'!I14</f>
        <v>0</v>
      </c>
      <c r="J14" s="192">
        <f>'1.ยาทั่วไป'!J14+'2.ยาแพทย์ PCC'!J14+'3.ยาเรื้อรัง 20%'!J14+'4.ยาเรื้อรังฟรี'!J14</f>
        <v>0</v>
      </c>
      <c r="K14" s="192">
        <f>'1.ยาทั่วไป'!K14+'2.ยาแพทย์ PCC'!K14+'3.ยาเรื้อรัง 20%'!K14+'4.ยาเรื้อรังฟรี'!K14</f>
        <v>0</v>
      </c>
      <c r="L14" s="192">
        <f>'1.ยาทั่วไป'!L14+'2.ยาแพทย์ PCC'!L14+'3.ยาเรื้อรัง 20%'!L14+'4.ยาเรื้อรังฟรี'!L14</f>
        <v>0</v>
      </c>
      <c r="M14" s="192">
        <f>'1.ยาทั่วไป'!M14+'2.ยาแพทย์ PCC'!M14+'3.ยาเรื้อรัง 20%'!M14+'4.ยาเรื้อรังฟรี'!M14</f>
        <v>0</v>
      </c>
      <c r="N14" s="192">
        <f>'1.ยาทั่วไป'!N14+'2.ยาแพทย์ PCC'!N14+'3.ยาเรื้อรัง 20%'!N14+'4.ยาเรื้อรังฟรี'!N14</f>
        <v>0</v>
      </c>
      <c r="O14" s="310">
        <f t="shared" si="1"/>
        <v>41595.919999999998</v>
      </c>
      <c r="P14" s="313">
        <f t="shared" si="0"/>
        <v>3.3291889669172056E-2</v>
      </c>
    </row>
    <row r="15" spans="1:17" ht="19.5" customHeight="1" x14ac:dyDescent="0.45">
      <c r="A15" s="25">
        <v>11</v>
      </c>
      <c r="B15" s="26" t="s">
        <v>8</v>
      </c>
      <c r="C15" s="192">
        <f>'1.ยาทั่วไป'!C15+'2.ยาแพทย์ PCC'!C15+'3.ยาเรื้อรัง 20%'!C15+'4.ยาเรื้อรังฟรี'!C15</f>
        <v>18008.09</v>
      </c>
      <c r="D15" s="192">
        <f>'1.ยาทั่วไป'!D15+'2.ยาแพทย์ PCC'!D15+'3.ยาเรื้อรัง 20%'!D15+'4.ยาเรื้อรังฟรี'!D15</f>
        <v>9449.98</v>
      </c>
      <c r="E15" s="192">
        <f>'1.ยาทั่วไป'!E15+'2.ยาแพทย์ PCC'!E15+'3.ยาเรื้อรัง 20%'!E15+'4.ยาเรื้อรังฟรี'!E15</f>
        <v>35705.15</v>
      </c>
      <c r="F15" s="192">
        <f>'1.ยาทั่วไป'!F15+'2.ยาแพทย์ PCC'!F15+'3.ยาเรื้อรัง 20%'!F15+'4.ยาเรื้อรังฟรี'!F15</f>
        <v>0</v>
      </c>
      <c r="G15" s="192">
        <f>'1.ยาทั่วไป'!G15+'2.ยาแพทย์ PCC'!G15+'3.ยาเรื้อรัง 20%'!G15+'4.ยาเรื้อรังฟรี'!G15</f>
        <v>0</v>
      </c>
      <c r="H15" s="192">
        <f>'1.ยาทั่วไป'!H15+'2.ยาแพทย์ PCC'!H15+'3.ยาเรื้อรัง 20%'!H15+'4.ยาเรื้อรังฟรี'!H15</f>
        <v>0</v>
      </c>
      <c r="I15" s="192">
        <f>'1.ยาทั่วไป'!I15+'2.ยาแพทย์ PCC'!I15+'3.ยาเรื้อรัง 20%'!I15+'4.ยาเรื้อรังฟรี'!I15</f>
        <v>0</v>
      </c>
      <c r="J15" s="192">
        <f>'1.ยาทั่วไป'!J15+'2.ยาแพทย์ PCC'!J15+'3.ยาเรื้อรัง 20%'!J15+'4.ยาเรื้อรังฟรี'!J15</f>
        <v>0</v>
      </c>
      <c r="K15" s="192">
        <f>'1.ยาทั่วไป'!K15+'2.ยาแพทย์ PCC'!K15+'3.ยาเรื้อรัง 20%'!K15+'4.ยาเรื้อรังฟรี'!K15</f>
        <v>0</v>
      </c>
      <c r="L15" s="192">
        <f>'1.ยาทั่วไป'!L15+'2.ยาแพทย์ PCC'!L15+'3.ยาเรื้อรัง 20%'!L15+'4.ยาเรื้อรังฟรี'!L15</f>
        <v>0</v>
      </c>
      <c r="M15" s="192">
        <f>'1.ยาทั่วไป'!M15+'2.ยาแพทย์ PCC'!M15+'3.ยาเรื้อรัง 20%'!M15+'4.ยาเรื้อรังฟรี'!M15</f>
        <v>0</v>
      </c>
      <c r="N15" s="192">
        <f>'1.ยาทั่วไป'!N15+'2.ยาแพทย์ PCC'!N15+'3.ยาเรื้อรัง 20%'!N15+'4.ยาเรื้อรังฟรี'!N15</f>
        <v>0</v>
      </c>
      <c r="O15" s="310">
        <f t="shared" si="1"/>
        <v>63163.22</v>
      </c>
      <c r="P15" s="313">
        <f t="shared" si="0"/>
        <v>5.0553586779415904E-2</v>
      </c>
    </row>
    <row r="16" spans="1:17" ht="19.5" customHeight="1" x14ac:dyDescent="0.45">
      <c r="A16" s="25">
        <v>12</v>
      </c>
      <c r="B16" s="26" t="s">
        <v>9</v>
      </c>
      <c r="C16" s="192">
        <f>'1.ยาทั่วไป'!C16+'2.ยาแพทย์ PCC'!C16+'3.ยาเรื้อรัง 20%'!C16+'4.ยาเรื้อรังฟรี'!C16</f>
        <v>11294.54</v>
      </c>
      <c r="D16" s="192">
        <f>'1.ยาทั่วไป'!D16+'2.ยาแพทย์ PCC'!D16+'3.ยาเรื้อรัง 20%'!D16+'4.ยาเรื้อรังฟรี'!D16</f>
        <v>9350.89</v>
      </c>
      <c r="E16" s="192">
        <f>'1.ยาทั่วไป'!E16+'2.ยาแพทย์ PCC'!E16+'3.ยาเรื้อรัง 20%'!E16+'4.ยาเรื้อรังฟรี'!E16</f>
        <v>7911</v>
      </c>
      <c r="F16" s="192">
        <f>'1.ยาทั่วไป'!F16+'2.ยาแพทย์ PCC'!F16+'3.ยาเรื้อรัง 20%'!F16+'4.ยาเรื้อรังฟรี'!F16</f>
        <v>0</v>
      </c>
      <c r="G16" s="192">
        <f>'1.ยาทั่วไป'!G16+'2.ยาแพทย์ PCC'!G16+'3.ยาเรื้อรัง 20%'!G16+'4.ยาเรื้อรังฟรี'!G16</f>
        <v>0</v>
      </c>
      <c r="H16" s="192">
        <f>'1.ยาทั่วไป'!H16+'2.ยาแพทย์ PCC'!H16+'3.ยาเรื้อรัง 20%'!H16+'4.ยาเรื้อรังฟรี'!H16</f>
        <v>0</v>
      </c>
      <c r="I16" s="192">
        <f>'1.ยาทั่วไป'!I16+'2.ยาแพทย์ PCC'!I16+'3.ยาเรื้อรัง 20%'!I16+'4.ยาเรื้อรังฟรี'!I16</f>
        <v>0</v>
      </c>
      <c r="J16" s="192">
        <f>'1.ยาทั่วไป'!J16+'2.ยาแพทย์ PCC'!J16+'3.ยาเรื้อรัง 20%'!J16+'4.ยาเรื้อรังฟรี'!J16</f>
        <v>0</v>
      </c>
      <c r="K16" s="192">
        <f>'1.ยาทั่วไป'!K16+'2.ยาแพทย์ PCC'!K16+'3.ยาเรื้อรัง 20%'!K16+'4.ยาเรื้อรังฟรี'!K16</f>
        <v>0</v>
      </c>
      <c r="L16" s="192">
        <f>'1.ยาทั่วไป'!L16+'2.ยาแพทย์ PCC'!L16+'3.ยาเรื้อรัง 20%'!L16+'4.ยาเรื้อรังฟรี'!L16</f>
        <v>0</v>
      </c>
      <c r="M16" s="192">
        <f>'1.ยาทั่วไป'!M16+'2.ยาแพทย์ PCC'!M16+'3.ยาเรื้อรัง 20%'!M16+'4.ยาเรื้อรังฟรี'!M16</f>
        <v>0</v>
      </c>
      <c r="N16" s="192">
        <f>'1.ยาทั่วไป'!N16+'2.ยาแพทย์ PCC'!N16+'3.ยาเรื้อรัง 20%'!N16+'4.ยาเรื้อรังฟรี'!N16</f>
        <v>0</v>
      </c>
      <c r="O16" s="310">
        <f t="shared" si="1"/>
        <v>28556.43</v>
      </c>
      <c r="P16" s="313">
        <f t="shared" si="0"/>
        <v>2.2855547296596276E-2</v>
      </c>
    </row>
    <row r="17" spans="1:16" ht="19.5" customHeight="1" x14ac:dyDescent="0.45">
      <c r="A17" s="25">
        <v>13</v>
      </c>
      <c r="B17" s="26" t="s">
        <v>10</v>
      </c>
      <c r="C17" s="192">
        <f>'1.ยาทั่วไป'!C17+'2.ยาแพทย์ PCC'!C17+'3.ยาเรื้อรัง 20%'!C17+'4.ยาเรื้อรังฟรี'!C17</f>
        <v>14508.24</v>
      </c>
      <c r="D17" s="192">
        <f>'1.ยาทั่วไป'!D17+'2.ยาแพทย์ PCC'!D17+'3.ยาเรื้อรัง 20%'!D17+'4.ยาเรื้อรังฟรี'!D17</f>
        <v>14373.650000000001</v>
      </c>
      <c r="E17" s="192">
        <f>'1.ยาทั่วไป'!E17+'2.ยาแพทย์ PCC'!E17+'3.ยาเรื้อรัง 20%'!E17+'4.ยาเรื้อรังฟรี'!E17</f>
        <v>8327.02</v>
      </c>
      <c r="F17" s="192">
        <f>'1.ยาทั่วไป'!F17+'2.ยาแพทย์ PCC'!F17+'3.ยาเรื้อรัง 20%'!F17+'4.ยาเรื้อรังฟรี'!F17</f>
        <v>0</v>
      </c>
      <c r="G17" s="192">
        <f>'1.ยาทั่วไป'!G17+'2.ยาแพทย์ PCC'!G17+'3.ยาเรื้อรัง 20%'!G17+'4.ยาเรื้อรังฟรี'!G17</f>
        <v>0</v>
      </c>
      <c r="H17" s="192">
        <f>'1.ยาทั่วไป'!H17+'2.ยาแพทย์ PCC'!H17+'3.ยาเรื้อรัง 20%'!H17+'4.ยาเรื้อรังฟรี'!H17</f>
        <v>0</v>
      </c>
      <c r="I17" s="192">
        <f>'1.ยาทั่วไป'!I17+'2.ยาแพทย์ PCC'!I17+'3.ยาเรื้อรัง 20%'!I17+'4.ยาเรื้อรังฟรี'!I17</f>
        <v>0</v>
      </c>
      <c r="J17" s="192">
        <f>'1.ยาทั่วไป'!J17+'2.ยาแพทย์ PCC'!J17+'3.ยาเรื้อรัง 20%'!J17+'4.ยาเรื้อรังฟรี'!J17</f>
        <v>0</v>
      </c>
      <c r="K17" s="192">
        <f>'1.ยาทั่วไป'!K17+'2.ยาแพทย์ PCC'!K17+'3.ยาเรื้อรัง 20%'!K17+'4.ยาเรื้อรังฟรี'!K17</f>
        <v>0</v>
      </c>
      <c r="L17" s="192">
        <f>'1.ยาทั่วไป'!L17+'2.ยาแพทย์ PCC'!L17+'3.ยาเรื้อรัง 20%'!L17+'4.ยาเรื้อรังฟรี'!L17</f>
        <v>0</v>
      </c>
      <c r="M17" s="192">
        <f>'1.ยาทั่วไป'!M17+'2.ยาแพทย์ PCC'!M17+'3.ยาเรื้อรัง 20%'!M17+'4.ยาเรื้อรังฟรี'!M17</f>
        <v>0</v>
      </c>
      <c r="N17" s="192">
        <f>'1.ยาทั่วไป'!N17+'2.ยาแพทย์ PCC'!N17+'3.ยาเรื้อรัง 20%'!N17+'4.ยาเรื้อรังฟรี'!N17</f>
        <v>0</v>
      </c>
      <c r="O17" s="310">
        <f t="shared" si="1"/>
        <v>37208.910000000003</v>
      </c>
      <c r="P17" s="313">
        <f t="shared" si="0"/>
        <v>2.9780683452371118E-2</v>
      </c>
    </row>
    <row r="18" spans="1:16" ht="19.5" customHeight="1" x14ac:dyDescent="0.45">
      <c r="A18" s="25">
        <v>14</v>
      </c>
      <c r="B18" s="26" t="s">
        <v>11</v>
      </c>
      <c r="C18" s="192">
        <f>'1.ยาทั่วไป'!C18+'2.ยาแพทย์ PCC'!C18+'3.ยาเรื้อรัง 20%'!C18+'4.ยาเรื้อรังฟรี'!C18</f>
        <v>11387.16</v>
      </c>
      <c r="D18" s="192">
        <f>'1.ยาทั่วไป'!D18+'2.ยาแพทย์ PCC'!D18+'3.ยาเรื้อรัง 20%'!D18+'4.ยาเรื้อรังฟรี'!D18</f>
        <v>6043.19</v>
      </c>
      <c r="E18" s="192">
        <f>'1.ยาทั่วไป'!E18+'2.ยาแพทย์ PCC'!E18+'3.ยาเรื้อรัง 20%'!E18+'4.ยาเรื้อรังฟรี'!E18</f>
        <v>5904.66</v>
      </c>
      <c r="F18" s="192">
        <f>'1.ยาทั่วไป'!F18+'2.ยาแพทย์ PCC'!F18+'3.ยาเรื้อรัง 20%'!F18+'4.ยาเรื้อรังฟรี'!F18</f>
        <v>0</v>
      </c>
      <c r="G18" s="192">
        <f>'1.ยาทั่วไป'!G18+'2.ยาแพทย์ PCC'!G18+'3.ยาเรื้อรัง 20%'!G18+'4.ยาเรื้อรังฟรี'!G18</f>
        <v>0</v>
      </c>
      <c r="H18" s="192">
        <f>'1.ยาทั่วไป'!H18+'2.ยาแพทย์ PCC'!H18+'3.ยาเรื้อรัง 20%'!H18+'4.ยาเรื้อรังฟรี'!H18</f>
        <v>0</v>
      </c>
      <c r="I18" s="192">
        <f>'1.ยาทั่วไป'!I18+'2.ยาแพทย์ PCC'!I18+'3.ยาเรื้อรัง 20%'!I18+'4.ยาเรื้อรังฟรี'!I18</f>
        <v>0</v>
      </c>
      <c r="J18" s="192">
        <f>'1.ยาทั่วไป'!J18+'2.ยาแพทย์ PCC'!J18+'3.ยาเรื้อรัง 20%'!J18+'4.ยาเรื้อรังฟรี'!J18</f>
        <v>0</v>
      </c>
      <c r="K18" s="192">
        <f>'1.ยาทั่วไป'!K18+'2.ยาแพทย์ PCC'!K18+'3.ยาเรื้อรัง 20%'!K18+'4.ยาเรื้อรังฟรี'!K18</f>
        <v>0</v>
      </c>
      <c r="L18" s="192">
        <f>'1.ยาทั่วไป'!L18+'2.ยาแพทย์ PCC'!L18+'3.ยาเรื้อรัง 20%'!L18+'4.ยาเรื้อรังฟรี'!L18</f>
        <v>0</v>
      </c>
      <c r="M18" s="192">
        <f>'1.ยาทั่วไป'!M18+'2.ยาแพทย์ PCC'!M18+'3.ยาเรื้อรัง 20%'!M18+'4.ยาเรื้อรังฟรี'!M18</f>
        <v>0</v>
      </c>
      <c r="N18" s="192">
        <f>'1.ยาทั่วไป'!N18+'2.ยาแพทย์ PCC'!N18+'3.ยาเรื้อรัง 20%'!N18+'4.ยาเรื้อรังฟรี'!N18</f>
        <v>0</v>
      </c>
      <c r="O18" s="310">
        <f t="shared" si="1"/>
        <v>23335.01</v>
      </c>
      <c r="P18" s="313">
        <f t="shared" si="0"/>
        <v>1.867650909870551E-2</v>
      </c>
    </row>
    <row r="19" spans="1:16" ht="19.5" customHeight="1" x14ac:dyDescent="0.45">
      <c r="A19" s="25">
        <v>15</v>
      </c>
      <c r="B19" s="26" t="s">
        <v>12</v>
      </c>
      <c r="C19" s="192">
        <f>'1.ยาทั่วไป'!C19+'2.ยาแพทย์ PCC'!C19+'3.ยาเรื้อรัง 20%'!C19+'4.ยาเรื้อรังฟรี'!C19</f>
        <v>53743.519999999997</v>
      </c>
      <c r="D19" s="192">
        <f>'1.ยาทั่วไป'!D19+'2.ยาแพทย์ PCC'!D19+'3.ยาเรื้อรัง 20%'!D19+'4.ยาเรื้อรังฟรี'!D19</f>
        <v>25808.71</v>
      </c>
      <c r="E19" s="192">
        <f>'1.ยาทั่วไป'!E19+'2.ยาแพทย์ PCC'!E19+'3.ยาเรื้อรัง 20%'!E19+'4.ยาเรื้อรังฟรี'!E19</f>
        <v>14813.64</v>
      </c>
      <c r="F19" s="192">
        <f>'1.ยาทั่วไป'!F19+'2.ยาแพทย์ PCC'!F19+'3.ยาเรื้อรัง 20%'!F19+'4.ยาเรื้อรังฟรี'!F19</f>
        <v>0</v>
      </c>
      <c r="G19" s="192">
        <f>'1.ยาทั่วไป'!G19+'2.ยาแพทย์ PCC'!G19+'3.ยาเรื้อรัง 20%'!G19+'4.ยาเรื้อรังฟรี'!G19</f>
        <v>0</v>
      </c>
      <c r="H19" s="192">
        <f>'1.ยาทั่วไป'!H19+'2.ยาแพทย์ PCC'!H19+'3.ยาเรื้อรัง 20%'!H19+'4.ยาเรื้อรังฟรี'!H19</f>
        <v>0</v>
      </c>
      <c r="I19" s="192">
        <f>'1.ยาทั่วไป'!I19+'2.ยาแพทย์ PCC'!I19+'3.ยาเรื้อรัง 20%'!I19+'4.ยาเรื้อรังฟรี'!I19</f>
        <v>0</v>
      </c>
      <c r="J19" s="192">
        <f>'1.ยาทั่วไป'!J19+'2.ยาแพทย์ PCC'!J19+'3.ยาเรื้อรัง 20%'!J19+'4.ยาเรื้อรังฟรี'!J19</f>
        <v>0</v>
      </c>
      <c r="K19" s="192">
        <f>'1.ยาทั่วไป'!K19+'2.ยาแพทย์ PCC'!K19+'3.ยาเรื้อรัง 20%'!K19+'4.ยาเรื้อรังฟรี'!K19</f>
        <v>0</v>
      </c>
      <c r="L19" s="192">
        <f>'1.ยาทั่วไป'!L19+'2.ยาแพทย์ PCC'!L19+'3.ยาเรื้อรัง 20%'!L19+'4.ยาเรื้อรังฟรี'!L19</f>
        <v>0</v>
      </c>
      <c r="M19" s="192">
        <f>'1.ยาทั่วไป'!M19+'2.ยาแพทย์ PCC'!M19+'3.ยาเรื้อรัง 20%'!M19+'4.ยาเรื้อรังฟรี'!M19</f>
        <v>0</v>
      </c>
      <c r="N19" s="192">
        <f>'1.ยาทั่วไป'!N19+'2.ยาแพทย์ PCC'!N19+'3.ยาเรื้อรัง 20%'!N19+'4.ยาเรื้อรังฟรี'!N19</f>
        <v>0</v>
      </c>
      <c r="O19" s="310">
        <f t="shared" si="1"/>
        <v>94365.87</v>
      </c>
      <c r="P19" s="313">
        <f t="shared" si="0"/>
        <v>7.5527074111485765E-2</v>
      </c>
    </row>
    <row r="20" spans="1:16" ht="19.5" customHeight="1" x14ac:dyDescent="0.45">
      <c r="A20" s="25">
        <v>16</v>
      </c>
      <c r="B20" s="26" t="s">
        <v>13</v>
      </c>
      <c r="C20" s="192">
        <f>'1.ยาทั่วไป'!C20+'2.ยาแพทย์ PCC'!C20+'3.ยาเรื้อรัง 20%'!C20+'4.ยาเรื้อรังฟรี'!C20</f>
        <v>0</v>
      </c>
      <c r="D20" s="192">
        <f>'1.ยาทั่วไป'!D20+'2.ยาแพทย์ PCC'!D20+'3.ยาเรื้อรัง 20%'!D20+'4.ยาเรื้อรังฟรี'!D20</f>
        <v>31733.489999999998</v>
      </c>
      <c r="E20" s="192">
        <f>'1.ยาทั่วไป'!E20+'2.ยาแพทย์ PCC'!E20+'3.ยาเรื้อรัง 20%'!E20+'4.ยาเรื้อรังฟรี'!E20</f>
        <v>10720.05</v>
      </c>
      <c r="F20" s="192">
        <f>'1.ยาทั่วไป'!F20+'2.ยาแพทย์ PCC'!F20+'3.ยาเรื้อรัง 20%'!F20+'4.ยาเรื้อรังฟรี'!F20</f>
        <v>0</v>
      </c>
      <c r="G20" s="192">
        <f>'1.ยาทั่วไป'!G20+'2.ยาแพทย์ PCC'!G20+'3.ยาเรื้อรัง 20%'!G20+'4.ยาเรื้อรังฟรี'!G20</f>
        <v>0</v>
      </c>
      <c r="H20" s="192">
        <f>'1.ยาทั่วไป'!H20+'2.ยาแพทย์ PCC'!H20+'3.ยาเรื้อรัง 20%'!H20+'4.ยาเรื้อรังฟรี'!H20</f>
        <v>0</v>
      </c>
      <c r="I20" s="192">
        <f>'1.ยาทั่วไป'!I20+'2.ยาแพทย์ PCC'!I20+'3.ยาเรื้อรัง 20%'!I20+'4.ยาเรื้อรังฟรี'!I20</f>
        <v>0</v>
      </c>
      <c r="J20" s="192">
        <f>'1.ยาทั่วไป'!J20+'2.ยาแพทย์ PCC'!J20+'3.ยาเรื้อรัง 20%'!J20+'4.ยาเรื้อรังฟรี'!J20</f>
        <v>0</v>
      </c>
      <c r="K20" s="192">
        <f>'1.ยาทั่วไป'!K20+'2.ยาแพทย์ PCC'!K20+'3.ยาเรื้อรัง 20%'!K20+'4.ยาเรื้อรังฟรี'!K20</f>
        <v>0</v>
      </c>
      <c r="L20" s="192">
        <f>'1.ยาทั่วไป'!L20+'2.ยาแพทย์ PCC'!L20+'3.ยาเรื้อรัง 20%'!L20+'4.ยาเรื้อรังฟรี'!L20</f>
        <v>0</v>
      </c>
      <c r="M20" s="192">
        <f>'1.ยาทั่วไป'!M20+'2.ยาแพทย์ PCC'!M20+'3.ยาเรื้อรัง 20%'!M20+'4.ยาเรื้อรังฟรี'!M20</f>
        <v>0</v>
      </c>
      <c r="N20" s="192">
        <f>'1.ยาทั่วไป'!N20+'2.ยาแพทย์ PCC'!N20+'3.ยาเรื้อรัง 20%'!N20+'4.ยาเรื้อรังฟรี'!N20</f>
        <v>0</v>
      </c>
      <c r="O20" s="310">
        <f t="shared" si="1"/>
        <v>42453.539999999994</v>
      </c>
      <c r="P20" s="313">
        <f t="shared" si="0"/>
        <v>3.3978298105818608E-2</v>
      </c>
    </row>
    <row r="21" spans="1:16" ht="19.5" customHeight="1" x14ac:dyDescent="0.45">
      <c r="A21" s="25">
        <v>17</v>
      </c>
      <c r="B21" s="26" t="s">
        <v>14</v>
      </c>
      <c r="C21" s="192">
        <f>'1.ยาทั่วไป'!C21+'2.ยาแพทย์ PCC'!C21+'3.ยาเรื้อรัง 20%'!C21+'4.ยาเรื้อรังฟรี'!C21</f>
        <v>24049.58</v>
      </c>
      <c r="D21" s="192">
        <f>'1.ยาทั่วไป'!D21+'2.ยาแพทย์ PCC'!D21+'3.ยาเรื้อรัง 20%'!D21+'4.ยาเรื้อรังฟรี'!D21</f>
        <v>18763.379999999997</v>
      </c>
      <c r="E21" s="192">
        <f>'1.ยาทั่วไป'!E21+'2.ยาแพทย์ PCC'!E21+'3.ยาเรื้อรัง 20%'!E21+'4.ยาเรื้อรังฟรี'!E21</f>
        <v>14589.5</v>
      </c>
      <c r="F21" s="192">
        <f>'1.ยาทั่วไป'!F21+'2.ยาแพทย์ PCC'!F21+'3.ยาเรื้อรัง 20%'!F21+'4.ยาเรื้อรังฟรี'!F21</f>
        <v>0</v>
      </c>
      <c r="G21" s="192">
        <f>'1.ยาทั่วไป'!G21+'2.ยาแพทย์ PCC'!G21+'3.ยาเรื้อรัง 20%'!G21+'4.ยาเรื้อรังฟรี'!G21</f>
        <v>0</v>
      </c>
      <c r="H21" s="192">
        <f>'1.ยาทั่วไป'!H21+'2.ยาแพทย์ PCC'!H21+'3.ยาเรื้อรัง 20%'!H21+'4.ยาเรื้อรังฟรี'!H21</f>
        <v>0</v>
      </c>
      <c r="I21" s="192">
        <f>'1.ยาทั่วไป'!I21+'2.ยาแพทย์ PCC'!I21+'3.ยาเรื้อรัง 20%'!I21+'4.ยาเรื้อรังฟรี'!I21</f>
        <v>0</v>
      </c>
      <c r="J21" s="192">
        <f>'1.ยาทั่วไป'!J21+'2.ยาแพทย์ PCC'!J21+'3.ยาเรื้อรัง 20%'!J21+'4.ยาเรื้อรังฟรี'!J21</f>
        <v>0</v>
      </c>
      <c r="K21" s="192">
        <f>'1.ยาทั่วไป'!K21+'2.ยาแพทย์ PCC'!K21+'3.ยาเรื้อรัง 20%'!K21+'4.ยาเรื้อรังฟรี'!K21</f>
        <v>0</v>
      </c>
      <c r="L21" s="192">
        <f>'1.ยาทั่วไป'!L21+'2.ยาแพทย์ PCC'!L21+'3.ยาเรื้อรัง 20%'!L21+'4.ยาเรื้อรังฟรี'!L21</f>
        <v>0</v>
      </c>
      <c r="M21" s="192">
        <f>'1.ยาทั่วไป'!M21+'2.ยาแพทย์ PCC'!M21+'3.ยาเรื้อรัง 20%'!M21+'4.ยาเรื้อรังฟรี'!M21</f>
        <v>0</v>
      </c>
      <c r="N21" s="192">
        <f>'1.ยาทั่วไป'!N21+'2.ยาแพทย์ PCC'!N21+'3.ยาเรื้อรัง 20%'!N21+'4.ยาเรื้อรังฟรี'!N21</f>
        <v>0</v>
      </c>
      <c r="O21" s="310">
        <f t="shared" si="1"/>
        <v>57402.46</v>
      </c>
      <c r="P21" s="313">
        <f t="shared" si="0"/>
        <v>4.5942880096390755E-2</v>
      </c>
    </row>
    <row r="22" spans="1:16" ht="19.5" customHeight="1" x14ac:dyDescent="0.45">
      <c r="A22" s="25">
        <v>18</v>
      </c>
      <c r="B22" s="26" t="s">
        <v>15</v>
      </c>
      <c r="C22" s="192">
        <f>'1.ยาทั่วไป'!C22+'2.ยาแพทย์ PCC'!C22+'3.ยาเรื้อรัง 20%'!C22+'4.ยาเรื้อรังฟรี'!C22</f>
        <v>7582.1</v>
      </c>
      <c r="D22" s="192">
        <f>'1.ยาทั่วไป'!D22+'2.ยาแพทย์ PCC'!D22+'3.ยาเรื้อรัง 20%'!D22+'4.ยาเรื้อรังฟรี'!D22</f>
        <v>26616.32</v>
      </c>
      <c r="E22" s="192">
        <f>'1.ยาทั่วไป'!E22+'2.ยาแพทย์ PCC'!E22+'3.ยาเรื้อรัง 20%'!E22+'4.ยาเรื้อรังฟรี'!E22</f>
        <v>0</v>
      </c>
      <c r="F22" s="192">
        <f>'1.ยาทั่วไป'!F22+'2.ยาแพทย์ PCC'!F22+'3.ยาเรื้อรัง 20%'!F22+'4.ยาเรื้อรังฟรี'!F22</f>
        <v>0</v>
      </c>
      <c r="G22" s="192">
        <f>'1.ยาทั่วไป'!G22+'2.ยาแพทย์ PCC'!G22+'3.ยาเรื้อรัง 20%'!G22+'4.ยาเรื้อรังฟรี'!G22</f>
        <v>0</v>
      </c>
      <c r="H22" s="192">
        <f>'1.ยาทั่วไป'!H22+'2.ยาแพทย์ PCC'!H22+'3.ยาเรื้อรัง 20%'!H22+'4.ยาเรื้อรังฟรี'!H22</f>
        <v>0</v>
      </c>
      <c r="I22" s="192">
        <f>'1.ยาทั่วไป'!I22+'2.ยาแพทย์ PCC'!I22+'3.ยาเรื้อรัง 20%'!I22+'4.ยาเรื้อรังฟรี'!I22</f>
        <v>0</v>
      </c>
      <c r="J22" s="192">
        <f>'1.ยาทั่วไป'!J22+'2.ยาแพทย์ PCC'!J22+'3.ยาเรื้อรัง 20%'!J22+'4.ยาเรื้อรังฟรี'!J22</f>
        <v>0</v>
      </c>
      <c r="K22" s="192">
        <f>'1.ยาทั่วไป'!K22+'2.ยาแพทย์ PCC'!K22+'3.ยาเรื้อรัง 20%'!K22+'4.ยาเรื้อรังฟรี'!K22</f>
        <v>0</v>
      </c>
      <c r="L22" s="192">
        <f>'1.ยาทั่วไป'!L22+'2.ยาแพทย์ PCC'!L22+'3.ยาเรื้อรัง 20%'!L22+'4.ยาเรื้อรังฟรี'!L22</f>
        <v>0</v>
      </c>
      <c r="M22" s="192">
        <f>'1.ยาทั่วไป'!M22+'2.ยาแพทย์ PCC'!M22+'3.ยาเรื้อรัง 20%'!M22+'4.ยาเรื้อรังฟรี'!M22</f>
        <v>0</v>
      </c>
      <c r="N22" s="192">
        <f>'1.ยาทั่วไป'!N22+'2.ยาแพทย์ PCC'!N22+'3.ยาเรื้อรัง 20%'!N22+'4.ยาเรื้อรังฟรี'!N22</f>
        <v>0</v>
      </c>
      <c r="O22" s="310">
        <f t="shared" si="1"/>
        <v>34198.42</v>
      </c>
      <c r="P22" s="313">
        <f t="shared" si="0"/>
        <v>2.7371194710923738E-2</v>
      </c>
    </row>
    <row r="23" spans="1:16" s="170" customFormat="1" ht="19.5" customHeight="1" x14ac:dyDescent="0.45">
      <c r="A23" s="45">
        <v>5.486111111111111E-2</v>
      </c>
      <c r="B23" s="153" t="s">
        <v>22</v>
      </c>
      <c r="C23" s="194">
        <f>SUM(C5:C22)</f>
        <v>355043.06</v>
      </c>
      <c r="D23" s="194">
        <f t="shared" ref="D23:N23" si="2">SUM(D5:D22)</f>
        <v>483447.83</v>
      </c>
      <c r="E23" s="194">
        <f t="shared" si="2"/>
        <v>410940.14</v>
      </c>
      <c r="F23" s="194">
        <f t="shared" si="2"/>
        <v>0</v>
      </c>
      <c r="G23" s="194">
        <f t="shared" si="2"/>
        <v>0</v>
      </c>
      <c r="H23" s="194">
        <f t="shared" si="2"/>
        <v>0</v>
      </c>
      <c r="I23" s="194">
        <f t="shared" si="2"/>
        <v>0</v>
      </c>
      <c r="J23" s="194">
        <f t="shared" si="2"/>
        <v>0</v>
      </c>
      <c r="K23" s="194">
        <f t="shared" si="2"/>
        <v>0</v>
      </c>
      <c r="L23" s="194">
        <f t="shared" si="2"/>
        <v>0</v>
      </c>
      <c r="M23" s="194">
        <f t="shared" si="2"/>
        <v>0</v>
      </c>
      <c r="N23" s="194">
        <f t="shared" si="2"/>
        <v>0</v>
      </c>
      <c r="O23" s="311">
        <f t="shared" ref="O23:O26" si="3">SUM(C23:N23)</f>
        <v>1249431.03</v>
      </c>
      <c r="P23" s="314">
        <f t="shared" si="0"/>
        <v>1</v>
      </c>
    </row>
    <row r="24" spans="1:16" ht="19.5" customHeight="1" x14ac:dyDescent="0.45">
      <c r="A24" s="30">
        <v>20</v>
      </c>
      <c r="B24" s="26" t="s">
        <v>16</v>
      </c>
      <c r="C24" s="192">
        <f>'1.ยาทั่วไป'!C24</f>
        <v>23408.81</v>
      </c>
      <c r="D24" s="192">
        <f>'1.ยาทั่วไป'!D24</f>
        <v>15855.72</v>
      </c>
      <c r="E24" s="192">
        <f>'1.ยาทั่วไป'!E24</f>
        <v>85987.41</v>
      </c>
      <c r="F24" s="192">
        <f>'1.ยาทั่วไป'!F24</f>
        <v>0</v>
      </c>
      <c r="G24" s="192">
        <f>'1.ยาทั่วไป'!G24</f>
        <v>0</v>
      </c>
      <c r="H24" s="192">
        <f>'1.ยาทั่วไป'!H24</f>
        <v>0</v>
      </c>
      <c r="I24" s="192">
        <f>'1.ยาทั่วไป'!I24</f>
        <v>0</v>
      </c>
      <c r="J24" s="192">
        <f>'1.ยาทั่วไป'!J24</f>
        <v>0</v>
      </c>
      <c r="K24" s="192">
        <f>'1.ยาทั่วไป'!K24</f>
        <v>0</v>
      </c>
      <c r="L24" s="192">
        <f>'1.ยาทั่วไป'!L24</f>
        <v>0</v>
      </c>
      <c r="M24" s="192">
        <f>'1.ยาทั่วไป'!M24</f>
        <v>0</v>
      </c>
      <c r="N24" s="192">
        <f>'1.ยาทั่วไป'!N24</f>
        <v>0</v>
      </c>
      <c r="O24" s="310">
        <f t="shared" si="3"/>
        <v>125251.94</v>
      </c>
      <c r="P24" s="313">
        <f t="shared" si="0"/>
        <v>0.10024718211136473</v>
      </c>
    </row>
    <row r="25" spans="1:16" ht="19.5" customHeight="1" x14ac:dyDescent="0.45">
      <c r="A25" s="30">
        <v>21</v>
      </c>
      <c r="B25" s="26" t="s">
        <v>17</v>
      </c>
      <c r="C25" s="192">
        <f>'1.ยาทั่วไป'!C25</f>
        <v>0</v>
      </c>
      <c r="D25" s="192">
        <f>'1.ยาทั่วไป'!D25</f>
        <v>0</v>
      </c>
      <c r="E25" s="192">
        <f>'1.ยาทั่วไป'!E25</f>
        <v>0</v>
      </c>
      <c r="F25" s="192">
        <f>'1.ยาทั่วไป'!F25</f>
        <v>0</v>
      </c>
      <c r="G25" s="192">
        <f>'1.ยาทั่วไป'!G25</f>
        <v>0</v>
      </c>
      <c r="H25" s="192">
        <f>'1.ยาทั่วไป'!H25</f>
        <v>0</v>
      </c>
      <c r="I25" s="192">
        <f>'1.ยาทั่วไป'!I25</f>
        <v>0</v>
      </c>
      <c r="J25" s="192">
        <f>'1.ยาทั่วไป'!J25</f>
        <v>0</v>
      </c>
      <c r="K25" s="192">
        <f>'1.ยาทั่วไป'!K25</f>
        <v>0</v>
      </c>
      <c r="L25" s="192">
        <f>'1.ยาทั่วไป'!L25</f>
        <v>0</v>
      </c>
      <c r="M25" s="192">
        <f>'1.ยาทั่วไป'!M25</f>
        <v>0</v>
      </c>
      <c r="N25" s="192">
        <f>'1.ยาทั่วไป'!N25</f>
        <v>0</v>
      </c>
      <c r="O25" s="310">
        <f t="shared" si="3"/>
        <v>0</v>
      </c>
      <c r="P25" s="313">
        <f t="shared" si="0"/>
        <v>0</v>
      </c>
    </row>
    <row r="26" spans="1:16" s="170" customFormat="1" ht="19.5" customHeight="1" x14ac:dyDescent="0.45">
      <c r="A26" s="49" t="s">
        <v>24</v>
      </c>
      <c r="B26" s="151" t="s">
        <v>23</v>
      </c>
      <c r="C26" s="195">
        <f>SUM(C24:C25)</f>
        <v>23408.81</v>
      </c>
      <c r="D26" s="195">
        <f t="shared" ref="D26:N26" si="4">SUM(D24:D25)</f>
        <v>15855.72</v>
      </c>
      <c r="E26" s="195">
        <f t="shared" si="4"/>
        <v>85987.41</v>
      </c>
      <c r="F26" s="195">
        <f t="shared" si="4"/>
        <v>0</v>
      </c>
      <c r="G26" s="195">
        <f t="shared" si="4"/>
        <v>0</v>
      </c>
      <c r="H26" s="195">
        <f t="shared" si="4"/>
        <v>0</v>
      </c>
      <c r="I26" s="195">
        <f t="shared" si="4"/>
        <v>0</v>
      </c>
      <c r="J26" s="195">
        <f t="shared" si="4"/>
        <v>0</v>
      </c>
      <c r="K26" s="195">
        <f t="shared" si="4"/>
        <v>0</v>
      </c>
      <c r="L26" s="195">
        <f t="shared" si="4"/>
        <v>0</v>
      </c>
      <c r="M26" s="195">
        <f t="shared" si="4"/>
        <v>0</v>
      </c>
      <c r="N26" s="195">
        <f t="shared" si="4"/>
        <v>0</v>
      </c>
      <c r="O26" s="312">
        <f t="shared" si="3"/>
        <v>125251.94</v>
      </c>
      <c r="P26" s="318">
        <f t="shared" si="0"/>
        <v>0.10024718211136473</v>
      </c>
    </row>
    <row r="27" spans="1:16" s="206" customFormat="1" ht="19.5" customHeight="1" x14ac:dyDescent="0.45">
      <c r="A27" s="202" t="s">
        <v>26</v>
      </c>
      <c r="B27" s="203" t="s">
        <v>25</v>
      </c>
      <c r="C27" s="204">
        <f>C23+C26</f>
        <v>378451.87</v>
      </c>
      <c r="D27" s="204">
        <f t="shared" ref="D27:M27" si="5">D23+D26</f>
        <v>499303.55</v>
      </c>
      <c r="E27" s="204">
        <f t="shared" si="5"/>
        <v>496927.55000000005</v>
      </c>
      <c r="F27" s="204">
        <f t="shared" si="5"/>
        <v>0</v>
      </c>
      <c r="G27" s="204">
        <f t="shared" si="5"/>
        <v>0</v>
      </c>
      <c r="H27" s="204">
        <f t="shared" si="5"/>
        <v>0</v>
      </c>
      <c r="I27" s="204">
        <f t="shared" si="5"/>
        <v>0</v>
      </c>
      <c r="J27" s="204">
        <f t="shared" si="5"/>
        <v>0</v>
      </c>
      <c r="K27" s="204">
        <f t="shared" si="5"/>
        <v>0</v>
      </c>
      <c r="L27" s="204">
        <f t="shared" si="5"/>
        <v>0</v>
      </c>
      <c r="M27" s="204">
        <f t="shared" si="5"/>
        <v>0</v>
      </c>
      <c r="N27" s="204">
        <f t="shared" ref="N27" si="6">N23+N26</f>
        <v>0</v>
      </c>
      <c r="O27" s="204">
        <f>SUM(C27:N27)</f>
        <v>1374682.97</v>
      </c>
      <c r="P27" s="319">
        <f t="shared" si="0"/>
        <v>1.1002471821113646</v>
      </c>
    </row>
    <row r="28" spans="1:16" ht="12.75" customHeight="1" x14ac:dyDescent="0.45"/>
    <row r="29" spans="1:16" ht="12.75" customHeight="1" x14ac:dyDescent="0.45"/>
    <row r="30" spans="1:16" ht="19.5" customHeight="1" x14ac:dyDescent="0.45">
      <c r="G30" s="109"/>
      <c r="H30" s="110" t="s">
        <v>48</v>
      </c>
      <c r="I30" s="109"/>
      <c r="J30" s="109"/>
      <c r="K30" s="109"/>
      <c r="L30" s="111"/>
      <c r="M30" s="109" t="s">
        <v>49</v>
      </c>
      <c r="N30" s="112"/>
    </row>
    <row r="31" spans="1:16" ht="19.5" customHeight="1" x14ac:dyDescent="0.45">
      <c r="G31" s="109"/>
      <c r="H31" s="109" t="s">
        <v>50</v>
      </c>
      <c r="I31" s="109"/>
      <c r="J31" s="109"/>
      <c r="K31" s="109"/>
      <c r="L31" s="111"/>
      <c r="M31" s="109" t="s">
        <v>51</v>
      </c>
      <c r="N31" s="112"/>
    </row>
    <row r="32" spans="1:16" ht="19.5" customHeight="1" x14ac:dyDescent="0.45">
      <c r="G32" s="109"/>
      <c r="H32" s="111" t="s">
        <v>52</v>
      </c>
      <c r="I32" s="111"/>
      <c r="J32" s="111"/>
      <c r="K32" s="109"/>
      <c r="L32" s="111"/>
      <c r="M32" s="109" t="s">
        <v>53</v>
      </c>
      <c r="N32" s="112"/>
    </row>
    <row r="33" spans="7:14" ht="19.5" customHeight="1" x14ac:dyDescent="0.45">
      <c r="G33" s="111"/>
      <c r="H33" s="111"/>
      <c r="I33" s="111"/>
      <c r="J33" s="111"/>
      <c r="K33" s="109"/>
      <c r="L33" s="111"/>
      <c r="M33" s="111"/>
      <c r="N33" s="113"/>
    </row>
  </sheetData>
  <printOptions horizontalCentered="1"/>
  <pageMargins left="0" right="0" top="0.55118110236220474" bottom="0.35433070866141736" header="0.11811023622047245" footer="0.11811023622047245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3"/>
  <sheetViews>
    <sheetView showGridLines="0" topLeftCell="A13" workbookViewId="0">
      <selection activeCell="C27" sqref="C27:N27"/>
    </sheetView>
  </sheetViews>
  <sheetFormatPr defaultRowHeight="18" customHeight="1" x14ac:dyDescent="0.2"/>
  <cols>
    <col min="1" max="1" width="4.875" style="27" customWidth="1"/>
    <col min="2" max="2" width="14.875" style="27" customWidth="1"/>
    <col min="3" max="3" width="8.5" style="125" customWidth="1"/>
    <col min="4" max="14" width="8.5" style="27" customWidth="1"/>
    <col min="15" max="15" width="10.125" style="280" customWidth="1"/>
    <col min="16" max="16" width="12.625" style="323" customWidth="1"/>
    <col min="17" max="16384" width="9" style="27"/>
  </cols>
  <sheetData>
    <row r="1" spans="1:17" s="68" customFormat="1" ht="20.25" customHeight="1" x14ac:dyDescent="0.2">
      <c r="A1" s="80"/>
      <c r="C1" s="147"/>
      <c r="D1" s="81" t="s">
        <v>42</v>
      </c>
      <c r="E1" s="82"/>
      <c r="F1" s="82"/>
      <c r="G1" s="82"/>
      <c r="H1" s="82"/>
      <c r="K1" s="81" t="str">
        <f>สรุปยอด!C3</f>
        <v xml:space="preserve"> ปีงบประมาณ   2563</v>
      </c>
      <c r="L1" s="82"/>
      <c r="M1" s="82"/>
      <c r="N1" s="82"/>
      <c r="O1" s="147"/>
      <c r="P1" s="322"/>
      <c r="Q1" s="83"/>
    </row>
    <row r="2" spans="1:17" s="68" customFormat="1" ht="20.25" customHeight="1" x14ac:dyDescent="0.2">
      <c r="A2" s="80"/>
      <c r="C2" s="148" t="str">
        <f>'[1]1.1.ยา(ทั่วไป)'!C2</f>
        <v>จาก ฝ่ายเภสัชกรรมชุมชน  โรงพยาบาลกุมภวาปี</v>
      </c>
      <c r="D2" s="82"/>
      <c r="F2" s="82"/>
      <c r="G2" s="82"/>
      <c r="I2" s="82"/>
      <c r="J2" s="82"/>
      <c r="K2" s="82"/>
      <c r="M2" s="84"/>
      <c r="N2" s="85" t="str">
        <f>สรุปยอด!D4</f>
        <v>รายงานข้อมูลณ วันที่ 28/12/63</v>
      </c>
      <c r="O2" s="147"/>
      <c r="P2" s="322"/>
      <c r="Q2" s="83"/>
    </row>
    <row r="3" spans="1:17" ht="4.5" customHeight="1" x14ac:dyDescent="0.2"/>
    <row r="4" spans="1:17" s="55" customFormat="1" ht="28.5" customHeight="1" x14ac:dyDescent="0.2">
      <c r="A4" s="199" t="s">
        <v>0</v>
      </c>
      <c r="B4" s="168" t="s">
        <v>1</v>
      </c>
      <c r="C4" s="198" t="s">
        <v>27</v>
      </c>
      <c r="D4" s="168" t="s">
        <v>28</v>
      </c>
      <c r="E4" s="168" t="s">
        <v>29</v>
      </c>
      <c r="F4" s="168" t="s">
        <v>30</v>
      </c>
      <c r="G4" s="168" t="s">
        <v>31</v>
      </c>
      <c r="H4" s="168" t="s">
        <v>32</v>
      </c>
      <c r="I4" s="168" t="s">
        <v>33</v>
      </c>
      <c r="J4" s="168" t="s">
        <v>34</v>
      </c>
      <c r="K4" s="168" t="s">
        <v>35</v>
      </c>
      <c r="L4" s="168" t="s">
        <v>36</v>
      </c>
      <c r="M4" s="168" t="s">
        <v>37</v>
      </c>
      <c r="N4" s="168" t="s">
        <v>38</v>
      </c>
      <c r="O4" s="198" t="s">
        <v>39</v>
      </c>
      <c r="P4" s="321" t="s">
        <v>40</v>
      </c>
    </row>
    <row r="5" spans="1:17" ht="18" customHeight="1" x14ac:dyDescent="0.2">
      <c r="A5" s="25">
        <v>1</v>
      </c>
      <c r="B5" s="26" t="s">
        <v>18</v>
      </c>
      <c r="C5" s="200">
        <f>'1.1รวมยาทั้งหมด(1+2+3+4)'!C5+'5.vaccine'!C5</f>
        <v>87156.71</v>
      </c>
      <c r="D5" s="201">
        <f>'1.1รวมยาทั้งหมด(1+2+3+4)'!D5+'5.vaccine'!D5</f>
        <v>79143.850000000006</v>
      </c>
      <c r="E5" s="201">
        <f>'1.1รวมยาทั้งหมด(1+2+3+4)'!E5+'5.vaccine'!E5</f>
        <v>94860.92</v>
      </c>
      <c r="F5" s="201">
        <f>'1.1รวมยาทั้งหมด(1+2+3+4)'!F5+'5.vaccine'!F5</f>
        <v>0</v>
      </c>
      <c r="G5" s="201">
        <f>'1.1รวมยาทั้งหมด(1+2+3+4)'!G5+'5.vaccine'!G5</f>
        <v>0</v>
      </c>
      <c r="H5" s="201">
        <f>'1.1รวมยาทั้งหมด(1+2+3+4)'!H5+'5.vaccine'!H5</f>
        <v>0</v>
      </c>
      <c r="I5" s="201">
        <f>'1.1รวมยาทั้งหมด(1+2+3+4)'!I5+'5.vaccine'!I5</f>
        <v>0</v>
      </c>
      <c r="J5" s="201">
        <f>'1.1รวมยาทั้งหมด(1+2+3+4)'!J5+'5.vaccine'!J5</f>
        <v>0</v>
      </c>
      <c r="K5" s="201">
        <f>'1.1รวมยาทั้งหมด(1+2+3+4)'!K5+'5.vaccine'!K5</f>
        <v>0</v>
      </c>
      <c r="L5" s="201">
        <f>'1.1รวมยาทั้งหมด(1+2+3+4)'!L5+'5.vaccine'!L5</f>
        <v>0</v>
      </c>
      <c r="M5" s="201">
        <f>'1.1รวมยาทั้งหมด(1+2+3+4)'!M5+'5.vaccine'!M5</f>
        <v>0</v>
      </c>
      <c r="N5" s="201">
        <f>'1.1รวมยาทั้งหมด(1+2+3+4)'!N5+'5.vaccine'!N5</f>
        <v>0</v>
      </c>
      <c r="O5" s="213">
        <f>SUM(C5:N5)</f>
        <v>261161.47999999998</v>
      </c>
      <c r="P5" s="324">
        <f t="shared" ref="P5:P27" si="0">O5/$O$23</f>
        <v>0.16490074873014487</v>
      </c>
    </row>
    <row r="6" spans="1:17" ht="18" customHeight="1" x14ac:dyDescent="0.2">
      <c r="A6" s="25">
        <v>2</v>
      </c>
      <c r="B6" s="28" t="s">
        <v>19</v>
      </c>
      <c r="C6" s="200">
        <f>'1.1รวมยาทั้งหมด(1+2+3+4)'!C6+'5.vaccine'!C6</f>
        <v>50466.950000000004</v>
      </c>
      <c r="D6" s="201">
        <f>'1.1รวมยาทั้งหมด(1+2+3+4)'!D6+'5.vaccine'!D6</f>
        <v>43964.57</v>
      </c>
      <c r="E6" s="201">
        <f>'1.1รวมยาทั้งหมด(1+2+3+4)'!E6+'5.vaccine'!E6</f>
        <v>60329.79</v>
      </c>
      <c r="F6" s="201">
        <f>'1.1รวมยาทั้งหมด(1+2+3+4)'!F6+'5.vaccine'!F6</f>
        <v>0</v>
      </c>
      <c r="G6" s="201">
        <f>'1.1รวมยาทั้งหมด(1+2+3+4)'!G6+'5.vaccine'!G6</f>
        <v>0</v>
      </c>
      <c r="H6" s="201">
        <f>'1.1รวมยาทั้งหมด(1+2+3+4)'!H6+'5.vaccine'!H6</f>
        <v>0</v>
      </c>
      <c r="I6" s="201">
        <f>'1.1รวมยาทั้งหมด(1+2+3+4)'!I6+'5.vaccine'!I6</f>
        <v>0</v>
      </c>
      <c r="J6" s="201">
        <f>'1.1รวมยาทั้งหมด(1+2+3+4)'!J6+'5.vaccine'!J6</f>
        <v>0</v>
      </c>
      <c r="K6" s="201">
        <f>'1.1รวมยาทั้งหมด(1+2+3+4)'!K6+'5.vaccine'!K6</f>
        <v>0</v>
      </c>
      <c r="L6" s="201">
        <f>'1.1รวมยาทั้งหมด(1+2+3+4)'!L6+'5.vaccine'!L6</f>
        <v>0</v>
      </c>
      <c r="M6" s="201">
        <f>'1.1รวมยาทั้งหมด(1+2+3+4)'!M6+'5.vaccine'!M6</f>
        <v>0</v>
      </c>
      <c r="N6" s="201">
        <f>'1.1รวมยาทั้งหมด(1+2+3+4)'!N6+'5.vaccine'!N6</f>
        <v>0</v>
      </c>
      <c r="O6" s="213">
        <f t="shared" ref="O6:O22" si="1">SUM(C6:N6)</f>
        <v>154761.31</v>
      </c>
      <c r="P6" s="324">
        <f t="shared" si="0"/>
        <v>9.7718300162252331E-2</v>
      </c>
    </row>
    <row r="7" spans="1:17" ht="18" customHeight="1" x14ac:dyDescent="0.2">
      <c r="A7" s="25">
        <v>3</v>
      </c>
      <c r="B7" s="28" t="s">
        <v>20</v>
      </c>
      <c r="C7" s="200">
        <f>'1.1รวมยาทั้งหมด(1+2+3+4)'!C7+'5.vaccine'!C7</f>
        <v>34721.040000000001</v>
      </c>
      <c r="D7" s="201">
        <f>'1.1รวมยาทั้งหมด(1+2+3+4)'!D7+'5.vaccine'!D7</f>
        <v>28065.71</v>
      </c>
      <c r="E7" s="201">
        <f>'1.1รวมยาทั้งหมด(1+2+3+4)'!E7+'5.vaccine'!E7</f>
        <v>19245.55</v>
      </c>
      <c r="F7" s="201">
        <f>'1.1รวมยาทั้งหมด(1+2+3+4)'!F7+'5.vaccine'!F7</f>
        <v>0</v>
      </c>
      <c r="G7" s="201">
        <f>'1.1รวมยาทั้งหมด(1+2+3+4)'!G7+'5.vaccine'!G7</f>
        <v>0</v>
      </c>
      <c r="H7" s="201">
        <f>'1.1รวมยาทั้งหมด(1+2+3+4)'!H7+'5.vaccine'!H7</f>
        <v>0</v>
      </c>
      <c r="I7" s="201">
        <f>'1.1รวมยาทั้งหมด(1+2+3+4)'!I7+'5.vaccine'!I7</f>
        <v>0</v>
      </c>
      <c r="J7" s="201">
        <f>'1.1รวมยาทั้งหมด(1+2+3+4)'!J7+'5.vaccine'!J7</f>
        <v>0</v>
      </c>
      <c r="K7" s="201">
        <f>'1.1รวมยาทั้งหมด(1+2+3+4)'!K7+'5.vaccine'!K7</f>
        <v>0</v>
      </c>
      <c r="L7" s="201">
        <f>'1.1รวมยาทั้งหมด(1+2+3+4)'!L7+'5.vaccine'!L7</f>
        <v>0</v>
      </c>
      <c r="M7" s="201">
        <f>'1.1รวมยาทั้งหมด(1+2+3+4)'!M7+'5.vaccine'!M7</f>
        <v>0</v>
      </c>
      <c r="N7" s="201">
        <f>'1.1รวมยาทั้งหมด(1+2+3+4)'!N7+'5.vaccine'!N7</f>
        <v>0</v>
      </c>
      <c r="O7" s="213">
        <f t="shared" si="1"/>
        <v>82032.3</v>
      </c>
      <c r="P7" s="324">
        <f t="shared" si="0"/>
        <v>5.1796259119284607E-2</v>
      </c>
    </row>
    <row r="8" spans="1:17" ht="18" customHeight="1" x14ac:dyDescent="0.2">
      <c r="A8" s="25">
        <v>4</v>
      </c>
      <c r="B8" s="28" t="s">
        <v>21</v>
      </c>
      <c r="C8" s="200">
        <f>'1.1รวมยาทั้งหมด(1+2+3+4)'!C8+'5.vaccine'!C8</f>
        <v>19099.189999999999</v>
      </c>
      <c r="D8" s="201">
        <f>'1.1รวมยาทั้งหมด(1+2+3+4)'!D8+'5.vaccine'!D8</f>
        <v>70490.94</v>
      </c>
      <c r="E8" s="201">
        <f>'1.1รวมยาทั้งหมด(1+2+3+4)'!E8+'5.vaccine'!E8</f>
        <v>85319.46</v>
      </c>
      <c r="F8" s="201">
        <f>'1.1รวมยาทั้งหมด(1+2+3+4)'!F8+'5.vaccine'!F8</f>
        <v>0</v>
      </c>
      <c r="G8" s="201">
        <f>'1.1รวมยาทั้งหมด(1+2+3+4)'!G8+'5.vaccine'!G8</f>
        <v>0</v>
      </c>
      <c r="H8" s="201">
        <f>'1.1รวมยาทั้งหมด(1+2+3+4)'!H8+'5.vaccine'!H8</f>
        <v>0</v>
      </c>
      <c r="I8" s="201">
        <f>'1.1รวมยาทั้งหมด(1+2+3+4)'!I8+'5.vaccine'!I8</f>
        <v>0</v>
      </c>
      <c r="J8" s="201">
        <f>'1.1รวมยาทั้งหมด(1+2+3+4)'!J8+'5.vaccine'!J8</f>
        <v>0</v>
      </c>
      <c r="K8" s="201">
        <f>'1.1รวมยาทั้งหมด(1+2+3+4)'!K8+'5.vaccine'!K8</f>
        <v>0</v>
      </c>
      <c r="L8" s="201">
        <f>'1.1รวมยาทั้งหมด(1+2+3+4)'!L8+'5.vaccine'!L8</f>
        <v>0</v>
      </c>
      <c r="M8" s="201">
        <f>'1.1รวมยาทั้งหมด(1+2+3+4)'!M8+'5.vaccine'!M8</f>
        <v>0</v>
      </c>
      <c r="N8" s="201">
        <f>'1.1รวมยาทั้งหมด(1+2+3+4)'!N8+'5.vaccine'!N8</f>
        <v>0</v>
      </c>
      <c r="O8" s="213">
        <f t="shared" si="1"/>
        <v>174909.59000000003</v>
      </c>
      <c r="P8" s="324">
        <f t="shared" si="0"/>
        <v>0.11044018570840794</v>
      </c>
    </row>
    <row r="9" spans="1:17" ht="18" customHeight="1" x14ac:dyDescent="0.2">
      <c r="A9" s="25">
        <v>5</v>
      </c>
      <c r="B9" s="28" t="s">
        <v>2</v>
      </c>
      <c r="C9" s="200">
        <f>'1.1รวมยาทั้งหมด(1+2+3+4)'!C9+'5.vaccine'!C9</f>
        <v>14021.14</v>
      </c>
      <c r="D9" s="201">
        <f>'1.1รวมยาทั้งหมด(1+2+3+4)'!D9+'5.vaccine'!D9</f>
        <v>29934.799999999996</v>
      </c>
      <c r="E9" s="201">
        <f>'1.1รวมยาทั้งหมด(1+2+3+4)'!E9+'5.vaccine'!E9</f>
        <v>35218.76</v>
      </c>
      <c r="F9" s="201">
        <f>'1.1รวมยาทั้งหมด(1+2+3+4)'!F9+'5.vaccine'!F9</f>
        <v>0</v>
      </c>
      <c r="G9" s="201">
        <f>'1.1รวมยาทั้งหมด(1+2+3+4)'!G9+'5.vaccine'!G9</f>
        <v>0</v>
      </c>
      <c r="H9" s="201">
        <f>'1.1รวมยาทั้งหมด(1+2+3+4)'!H9+'5.vaccine'!H9</f>
        <v>0</v>
      </c>
      <c r="I9" s="201">
        <f>'1.1รวมยาทั้งหมด(1+2+3+4)'!I9+'5.vaccine'!I9</f>
        <v>0</v>
      </c>
      <c r="J9" s="201">
        <f>'1.1รวมยาทั้งหมด(1+2+3+4)'!J9+'5.vaccine'!J9</f>
        <v>0</v>
      </c>
      <c r="K9" s="201">
        <f>'1.1รวมยาทั้งหมด(1+2+3+4)'!K9+'5.vaccine'!K9</f>
        <v>0</v>
      </c>
      <c r="L9" s="201">
        <f>'1.1รวมยาทั้งหมด(1+2+3+4)'!L9+'5.vaccine'!L9</f>
        <v>0</v>
      </c>
      <c r="M9" s="201">
        <f>'1.1รวมยาทั้งหมด(1+2+3+4)'!M9+'5.vaccine'!M9</f>
        <v>0</v>
      </c>
      <c r="N9" s="201">
        <f>'1.1รวมยาทั้งหมด(1+2+3+4)'!N9+'5.vaccine'!N9</f>
        <v>0</v>
      </c>
      <c r="O9" s="213">
        <f t="shared" si="1"/>
        <v>79174.7</v>
      </c>
      <c r="P9" s="324">
        <f t="shared" si="0"/>
        <v>4.9991933383455332E-2</v>
      </c>
    </row>
    <row r="10" spans="1:17" ht="18" customHeight="1" x14ac:dyDescent="0.2">
      <c r="A10" s="25">
        <v>6</v>
      </c>
      <c r="B10" s="28" t="s">
        <v>3</v>
      </c>
      <c r="C10" s="200">
        <f>'1.1รวมยาทั้งหมด(1+2+3+4)'!C10+'5.vaccine'!C10</f>
        <v>16721.28</v>
      </c>
      <c r="D10" s="201">
        <f>'1.1รวมยาทั้งหมด(1+2+3+4)'!D10+'5.vaccine'!D10</f>
        <v>37036.74</v>
      </c>
      <c r="E10" s="201">
        <f>'1.1รวมยาทั้งหมด(1+2+3+4)'!E10+'5.vaccine'!E10</f>
        <v>13223.69</v>
      </c>
      <c r="F10" s="201">
        <f>'1.1รวมยาทั้งหมด(1+2+3+4)'!F10+'5.vaccine'!F10</f>
        <v>0</v>
      </c>
      <c r="G10" s="201">
        <f>'1.1รวมยาทั้งหมด(1+2+3+4)'!G10+'5.vaccine'!G10</f>
        <v>0</v>
      </c>
      <c r="H10" s="201">
        <f>'1.1รวมยาทั้งหมด(1+2+3+4)'!H10+'5.vaccine'!H10</f>
        <v>0</v>
      </c>
      <c r="I10" s="201">
        <f>'1.1รวมยาทั้งหมด(1+2+3+4)'!I10+'5.vaccine'!I10</f>
        <v>0</v>
      </c>
      <c r="J10" s="201">
        <f>'1.1รวมยาทั้งหมด(1+2+3+4)'!J10+'5.vaccine'!J10</f>
        <v>0</v>
      </c>
      <c r="K10" s="201">
        <f>'1.1รวมยาทั้งหมด(1+2+3+4)'!K10+'5.vaccine'!K10</f>
        <v>0</v>
      </c>
      <c r="L10" s="201">
        <f>'1.1รวมยาทั้งหมด(1+2+3+4)'!L10+'5.vaccine'!L10</f>
        <v>0</v>
      </c>
      <c r="M10" s="201">
        <f>'1.1รวมยาทั้งหมด(1+2+3+4)'!M10+'5.vaccine'!M10</f>
        <v>0</v>
      </c>
      <c r="N10" s="201">
        <f>'1.1รวมยาทั้งหมด(1+2+3+4)'!N10+'5.vaccine'!N10</f>
        <v>0</v>
      </c>
      <c r="O10" s="213">
        <f t="shared" si="1"/>
        <v>66981.709999999992</v>
      </c>
      <c r="P10" s="324">
        <f t="shared" si="0"/>
        <v>4.2293121214604205E-2</v>
      </c>
    </row>
    <row r="11" spans="1:17" ht="18" customHeight="1" x14ac:dyDescent="0.2">
      <c r="A11" s="25">
        <v>7</v>
      </c>
      <c r="B11" s="28" t="s">
        <v>4</v>
      </c>
      <c r="C11" s="200">
        <f>'1.1รวมยาทั้งหมด(1+2+3+4)'!C11+'5.vaccine'!C11</f>
        <v>9455.91</v>
      </c>
      <c r="D11" s="201">
        <f>'1.1รวมยาทั้งหมด(1+2+3+4)'!D11+'5.vaccine'!D11</f>
        <v>19687.43</v>
      </c>
      <c r="E11" s="201">
        <f>'1.1รวมยาทั้งหมด(1+2+3+4)'!E11+'5.vaccine'!E11</f>
        <v>15386.79</v>
      </c>
      <c r="F11" s="201">
        <f>'1.1รวมยาทั้งหมด(1+2+3+4)'!F11+'5.vaccine'!F11</f>
        <v>0</v>
      </c>
      <c r="G11" s="201">
        <f>'1.1รวมยาทั้งหมด(1+2+3+4)'!G11+'5.vaccine'!G11</f>
        <v>0</v>
      </c>
      <c r="H11" s="201">
        <f>'1.1รวมยาทั้งหมด(1+2+3+4)'!H11+'5.vaccine'!H11</f>
        <v>0</v>
      </c>
      <c r="I11" s="201">
        <f>'1.1รวมยาทั้งหมด(1+2+3+4)'!I11+'5.vaccine'!I11</f>
        <v>0</v>
      </c>
      <c r="J11" s="201">
        <f>'1.1รวมยาทั้งหมด(1+2+3+4)'!J11+'5.vaccine'!J11</f>
        <v>0</v>
      </c>
      <c r="K11" s="201">
        <f>'1.1รวมยาทั้งหมด(1+2+3+4)'!K11+'5.vaccine'!K11</f>
        <v>0</v>
      </c>
      <c r="L11" s="201">
        <f>'1.1รวมยาทั้งหมด(1+2+3+4)'!L11+'5.vaccine'!L11</f>
        <v>0</v>
      </c>
      <c r="M11" s="201">
        <f>'1.1รวมยาทั้งหมด(1+2+3+4)'!M11+'5.vaccine'!M11</f>
        <v>0</v>
      </c>
      <c r="N11" s="201">
        <f>'1.1รวมยาทั้งหมด(1+2+3+4)'!N11+'5.vaccine'!N11</f>
        <v>0</v>
      </c>
      <c r="O11" s="213">
        <f t="shared" si="1"/>
        <v>44530.130000000005</v>
      </c>
      <c r="P11" s="324">
        <f t="shared" si="0"/>
        <v>2.8116902148244402E-2</v>
      </c>
    </row>
    <row r="12" spans="1:17" ht="18" customHeight="1" x14ac:dyDescent="0.2">
      <c r="A12" s="25">
        <v>8</v>
      </c>
      <c r="B12" s="28" t="s">
        <v>5</v>
      </c>
      <c r="C12" s="200">
        <f>'1.1รวมยาทั้งหมด(1+2+3+4)'!C12+'5.vaccine'!C12</f>
        <v>44752.95</v>
      </c>
      <c r="D12" s="201">
        <f>'1.1รวมยาทั้งหมด(1+2+3+4)'!D12+'5.vaccine'!D12</f>
        <v>44130.619999999995</v>
      </c>
      <c r="E12" s="201">
        <f>'1.1รวมยาทั้งหมด(1+2+3+4)'!E12+'5.vaccine'!E12</f>
        <v>31878.97</v>
      </c>
      <c r="F12" s="201">
        <f>'1.1รวมยาทั้งหมด(1+2+3+4)'!F12+'5.vaccine'!F12</f>
        <v>0</v>
      </c>
      <c r="G12" s="201">
        <f>'1.1รวมยาทั้งหมด(1+2+3+4)'!G12+'5.vaccine'!G12</f>
        <v>0</v>
      </c>
      <c r="H12" s="201">
        <f>'1.1รวมยาทั้งหมด(1+2+3+4)'!H12+'5.vaccine'!H12</f>
        <v>0</v>
      </c>
      <c r="I12" s="201">
        <f>'1.1รวมยาทั้งหมด(1+2+3+4)'!I12+'5.vaccine'!I12</f>
        <v>0</v>
      </c>
      <c r="J12" s="201">
        <f>'1.1รวมยาทั้งหมด(1+2+3+4)'!J12+'5.vaccine'!J12</f>
        <v>0</v>
      </c>
      <c r="K12" s="201">
        <f>'1.1รวมยาทั้งหมด(1+2+3+4)'!K12+'5.vaccine'!K12</f>
        <v>0</v>
      </c>
      <c r="L12" s="201">
        <f>'1.1รวมยาทั้งหมด(1+2+3+4)'!L12+'5.vaccine'!L12</f>
        <v>0</v>
      </c>
      <c r="M12" s="201">
        <f>'1.1รวมยาทั้งหมด(1+2+3+4)'!M12+'5.vaccine'!M12</f>
        <v>0</v>
      </c>
      <c r="N12" s="201">
        <f>'1.1รวมยาทั้งหมด(1+2+3+4)'!N12+'5.vaccine'!N12</f>
        <v>0</v>
      </c>
      <c r="O12" s="213">
        <f t="shared" si="1"/>
        <v>120762.54</v>
      </c>
      <c r="P12" s="324">
        <f t="shared" si="0"/>
        <v>7.6251035430470335E-2</v>
      </c>
    </row>
    <row r="13" spans="1:17" ht="18" customHeight="1" x14ac:dyDescent="0.2">
      <c r="A13" s="25">
        <v>9</v>
      </c>
      <c r="B13" s="28" t="s">
        <v>6</v>
      </c>
      <c r="C13" s="200">
        <f>'1.1รวมยาทั้งหมด(1+2+3+4)'!C13+'5.vaccine'!C13</f>
        <v>2689.94</v>
      </c>
      <c r="D13" s="201">
        <f>'1.1รวมยาทั้งหมด(1+2+3+4)'!D13+'5.vaccine'!D13</f>
        <v>30986.959999999999</v>
      </c>
      <c r="E13" s="201">
        <f>'1.1รวมยาทั้งหมด(1+2+3+4)'!E13+'5.vaccine'!E13</f>
        <v>17783.599999999999</v>
      </c>
      <c r="F13" s="201">
        <f>'1.1รวมยาทั้งหมด(1+2+3+4)'!F13+'5.vaccine'!F13</f>
        <v>0</v>
      </c>
      <c r="G13" s="201">
        <f>'1.1รวมยาทั้งหมด(1+2+3+4)'!G13+'5.vaccine'!G13</f>
        <v>0</v>
      </c>
      <c r="H13" s="201">
        <f>'1.1รวมยาทั้งหมด(1+2+3+4)'!H13+'5.vaccine'!H13</f>
        <v>0</v>
      </c>
      <c r="I13" s="201">
        <f>'1.1รวมยาทั้งหมด(1+2+3+4)'!I13+'5.vaccine'!I13</f>
        <v>0</v>
      </c>
      <c r="J13" s="201">
        <f>'1.1รวมยาทั้งหมด(1+2+3+4)'!J13+'5.vaccine'!J13</f>
        <v>0</v>
      </c>
      <c r="K13" s="201">
        <f>'1.1รวมยาทั้งหมด(1+2+3+4)'!K13+'5.vaccine'!K13</f>
        <v>0</v>
      </c>
      <c r="L13" s="201">
        <f>'1.1รวมยาทั้งหมด(1+2+3+4)'!L13+'5.vaccine'!L13</f>
        <v>0</v>
      </c>
      <c r="M13" s="201">
        <f>'1.1รวมยาทั้งหมด(1+2+3+4)'!M13+'5.vaccine'!M13</f>
        <v>0</v>
      </c>
      <c r="N13" s="201">
        <f>'1.1รวมยาทั้งหมด(1+2+3+4)'!N13+'5.vaccine'!N13</f>
        <v>0</v>
      </c>
      <c r="O13" s="213">
        <f t="shared" si="1"/>
        <v>51460.5</v>
      </c>
      <c r="P13" s="324">
        <f t="shared" si="0"/>
        <v>3.2492827732587597E-2</v>
      </c>
    </row>
    <row r="14" spans="1:17" ht="18" customHeight="1" x14ac:dyDescent="0.2">
      <c r="A14" s="25">
        <v>10</v>
      </c>
      <c r="B14" s="28" t="s">
        <v>7</v>
      </c>
      <c r="C14" s="200">
        <f>'1.1รวมยาทั้งหมด(1+2+3+4)'!C14+'5.vaccine'!C14</f>
        <v>0</v>
      </c>
      <c r="D14" s="201">
        <f>'1.1รวมยาทั้งหมด(1+2+3+4)'!D14+'5.vaccine'!D14</f>
        <v>33633.599999999999</v>
      </c>
      <c r="E14" s="201">
        <f>'1.1รวมยาทั้งหมด(1+2+3+4)'!E14+'5.vaccine'!E14</f>
        <v>14652.49</v>
      </c>
      <c r="F14" s="201">
        <f>'1.1รวมยาทั้งหมด(1+2+3+4)'!F14+'5.vaccine'!F14</f>
        <v>0</v>
      </c>
      <c r="G14" s="201">
        <f>'1.1รวมยาทั้งหมด(1+2+3+4)'!G14+'5.vaccine'!G14</f>
        <v>0</v>
      </c>
      <c r="H14" s="201">
        <f>'1.1รวมยาทั้งหมด(1+2+3+4)'!H14+'5.vaccine'!H14</f>
        <v>0</v>
      </c>
      <c r="I14" s="201">
        <f>'1.1รวมยาทั้งหมด(1+2+3+4)'!I14+'5.vaccine'!I14</f>
        <v>0</v>
      </c>
      <c r="J14" s="201">
        <f>'1.1รวมยาทั้งหมด(1+2+3+4)'!J14+'5.vaccine'!J14</f>
        <v>0</v>
      </c>
      <c r="K14" s="201">
        <f>'1.1รวมยาทั้งหมด(1+2+3+4)'!K14+'5.vaccine'!K14</f>
        <v>0</v>
      </c>
      <c r="L14" s="201">
        <f>'1.1รวมยาทั้งหมด(1+2+3+4)'!L14+'5.vaccine'!L14</f>
        <v>0</v>
      </c>
      <c r="M14" s="201">
        <f>'1.1รวมยาทั้งหมด(1+2+3+4)'!M14+'5.vaccine'!M14</f>
        <v>0</v>
      </c>
      <c r="N14" s="201">
        <f>'1.1รวมยาทั้งหมด(1+2+3+4)'!N14+'5.vaccine'!N14</f>
        <v>0</v>
      </c>
      <c r="O14" s="213">
        <f t="shared" si="1"/>
        <v>48286.09</v>
      </c>
      <c r="P14" s="324">
        <f t="shared" si="0"/>
        <v>3.0488464050100961E-2</v>
      </c>
    </row>
    <row r="15" spans="1:17" ht="18" customHeight="1" x14ac:dyDescent="0.2">
      <c r="A15" s="25">
        <v>11</v>
      </c>
      <c r="B15" s="28" t="s">
        <v>8</v>
      </c>
      <c r="C15" s="200">
        <f>'1.1รวมยาทั้งหมด(1+2+3+4)'!C15+'5.vaccine'!C15</f>
        <v>26057.32</v>
      </c>
      <c r="D15" s="201">
        <f>'1.1รวมยาทั้งหมด(1+2+3+4)'!D15+'5.vaccine'!D15</f>
        <v>11777.41</v>
      </c>
      <c r="E15" s="201">
        <f>'1.1รวมยาทั้งหมด(1+2+3+4)'!E15+'5.vaccine'!E15</f>
        <v>41477.35</v>
      </c>
      <c r="F15" s="201">
        <f>'1.1รวมยาทั้งหมด(1+2+3+4)'!F15+'5.vaccine'!F15</f>
        <v>0</v>
      </c>
      <c r="G15" s="201">
        <f>'1.1รวมยาทั้งหมด(1+2+3+4)'!G15+'5.vaccine'!G15</f>
        <v>0</v>
      </c>
      <c r="H15" s="201">
        <f>'1.1รวมยาทั้งหมด(1+2+3+4)'!H15+'5.vaccine'!H15</f>
        <v>0</v>
      </c>
      <c r="I15" s="201">
        <f>'1.1รวมยาทั้งหมด(1+2+3+4)'!I15+'5.vaccine'!I15</f>
        <v>0</v>
      </c>
      <c r="J15" s="201">
        <f>'1.1รวมยาทั้งหมด(1+2+3+4)'!J15+'5.vaccine'!J15</f>
        <v>0</v>
      </c>
      <c r="K15" s="201">
        <f>'1.1รวมยาทั้งหมด(1+2+3+4)'!K15+'5.vaccine'!K15</f>
        <v>0</v>
      </c>
      <c r="L15" s="201">
        <f>'1.1รวมยาทั้งหมด(1+2+3+4)'!L15+'5.vaccine'!L15</f>
        <v>0</v>
      </c>
      <c r="M15" s="201">
        <f>'1.1รวมยาทั้งหมด(1+2+3+4)'!M15+'5.vaccine'!M15</f>
        <v>0</v>
      </c>
      <c r="N15" s="201">
        <f>'1.1รวมยาทั้งหมด(1+2+3+4)'!N15+'5.vaccine'!N15</f>
        <v>0</v>
      </c>
      <c r="O15" s="213">
        <f t="shared" si="1"/>
        <v>79312.079999999987</v>
      </c>
      <c r="P15" s="324">
        <f t="shared" si="0"/>
        <v>5.0078676898848741E-2</v>
      </c>
    </row>
    <row r="16" spans="1:17" ht="18" customHeight="1" x14ac:dyDescent="0.2">
      <c r="A16" s="25">
        <v>12</v>
      </c>
      <c r="B16" s="28" t="s">
        <v>9</v>
      </c>
      <c r="C16" s="200">
        <f>'1.1รวมยาทั้งหมด(1+2+3+4)'!C16+'5.vaccine'!C16</f>
        <v>16026.94</v>
      </c>
      <c r="D16" s="201">
        <f>'1.1รวมยาทั้งหมด(1+2+3+4)'!D16+'5.vaccine'!D16</f>
        <v>10127.23</v>
      </c>
      <c r="E16" s="201">
        <f>'1.1รวมยาทั้งหมด(1+2+3+4)'!E16+'5.vaccine'!E16</f>
        <v>12288.310000000001</v>
      </c>
      <c r="F16" s="201">
        <f>'1.1รวมยาทั้งหมด(1+2+3+4)'!F16+'5.vaccine'!F16</f>
        <v>0</v>
      </c>
      <c r="G16" s="201">
        <f>'1.1รวมยาทั้งหมด(1+2+3+4)'!G16+'5.vaccine'!G16</f>
        <v>0</v>
      </c>
      <c r="H16" s="201">
        <f>'1.1รวมยาทั้งหมด(1+2+3+4)'!H16+'5.vaccine'!H16</f>
        <v>0</v>
      </c>
      <c r="I16" s="201">
        <f>'1.1รวมยาทั้งหมด(1+2+3+4)'!I16+'5.vaccine'!I16</f>
        <v>0</v>
      </c>
      <c r="J16" s="201">
        <f>'1.1รวมยาทั้งหมด(1+2+3+4)'!J16+'5.vaccine'!J16</f>
        <v>0</v>
      </c>
      <c r="K16" s="201">
        <f>'1.1รวมยาทั้งหมด(1+2+3+4)'!K16+'5.vaccine'!K16</f>
        <v>0</v>
      </c>
      <c r="L16" s="201">
        <f>'1.1รวมยาทั้งหมด(1+2+3+4)'!L16+'5.vaccine'!L16</f>
        <v>0</v>
      </c>
      <c r="M16" s="201">
        <f>'1.1รวมยาทั้งหมด(1+2+3+4)'!M16+'5.vaccine'!M16</f>
        <v>0</v>
      </c>
      <c r="N16" s="201">
        <f>'1.1รวมยาทั้งหมด(1+2+3+4)'!N16+'5.vaccine'!N16</f>
        <v>0</v>
      </c>
      <c r="O16" s="213">
        <f t="shared" si="1"/>
        <v>38442.479999999996</v>
      </c>
      <c r="P16" s="324">
        <f t="shared" si="0"/>
        <v>2.4273080911639877E-2</v>
      </c>
    </row>
    <row r="17" spans="1:16" ht="18" customHeight="1" x14ac:dyDescent="0.2">
      <c r="A17" s="25">
        <v>13</v>
      </c>
      <c r="B17" s="28" t="s">
        <v>10</v>
      </c>
      <c r="C17" s="200">
        <f>'1.1รวมยาทั้งหมด(1+2+3+4)'!C17+'5.vaccine'!C17</f>
        <v>17473.34</v>
      </c>
      <c r="D17" s="201">
        <f>'1.1รวมยาทั้งหมด(1+2+3+4)'!D17+'5.vaccine'!D17</f>
        <v>16883.550000000003</v>
      </c>
      <c r="E17" s="201">
        <f>'1.1รวมยาทั้งหมด(1+2+3+4)'!E17+'5.vaccine'!E17</f>
        <v>8327.02</v>
      </c>
      <c r="F17" s="201">
        <f>'1.1รวมยาทั้งหมด(1+2+3+4)'!F17+'5.vaccine'!F17</f>
        <v>0</v>
      </c>
      <c r="G17" s="201">
        <f>'1.1รวมยาทั้งหมด(1+2+3+4)'!G17+'5.vaccine'!G17</f>
        <v>0</v>
      </c>
      <c r="H17" s="201">
        <f>'1.1รวมยาทั้งหมด(1+2+3+4)'!H17+'5.vaccine'!H17</f>
        <v>0</v>
      </c>
      <c r="I17" s="201">
        <f>'1.1รวมยาทั้งหมด(1+2+3+4)'!I17+'5.vaccine'!I17</f>
        <v>0</v>
      </c>
      <c r="J17" s="201">
        <f>'1.1รวมยาทั้งหมด(1+2+3+4)'!J17+'5.vaccine'!J17</f>
        <v>0</v>
      </c>
      <c r="K17" s="201">
        <f>'1.1รวมยาทั้งหมด(1+2+3+4)'!K17+'5.vaccine'!K17</f>
        <v>0</v>
      </c>
      <c r="L17" s="201">
        <f>'1.1รวมยาทั้งหมด(1+2+3+4)'!L17+'5.vaccine'!L17</f>
        <v>0</v>
      </c>
      <c r="M17" s="201">
        <f>'1.1รวมยาทั้งหมด(1+2+3+4)'!M17+'5.vaccine'!M17</f>
        <v>0</v>
      </c>
      <c r="N17" s="201">
        <f>'1.1รวมยาทั้งหมด(1+2+3+4)'!N17+'5.vaccine'!N17</f>
        <v>0</v>
      </c>
      <c r="O17" s="213">
        <f t="shared" si="1"/>
        <v>42683.91</v>
      </c>
      <c r="P17" s="324">
        <f t="shared" si="0"/>
        <v>2.6951174873607389E-2</v>
      </c>
    </row>
    <row r="18" spans="1:16" ht="18" customHeight="1" x14ac:dyDescent="0.2">
      <c r="A18" s="25">
        <v>14</v>
      </c>
      <c r="B18" s="28" t="s">
        <v>11</v>
      </c>
      <c r="C18" s="200">
        <f>'1.1รวมยาทั้งหมด(1+2+3+4)'!C18+'5.vaccine'!C18</f>
        <v>18861.63</v>
      </c>
      <c r="D18" s="201">
        <f>'1.1รวมยาทั้งหมด(1+2+3+4)'!D18+'5.vaccine'!D18</f>
        <v>11668.68</v>
      </c>
      <c r="E18" s="201">
        <f>'1.1รวมยาทั้งหมด(1+2+3+4)'!E18+'5.vaccine'!E18</f>
        <v>13272.33</v>
      </c>
      <c r="F18" s="201">
        <f>'1.1รวมยาทั้งหมด(1+2+3+4)'!F18+'5.vaccine'!F18</f>
        <v>0</v>
      </c>
      <c r="G18" s="201">
        <f>'1.1รวมยาทั้งหมด(1+2+3+4)'!G18+'5.vaccine'!G18</f>
        <v>0</v>
      </c>
      <c r="H18" s="201">
        <f>'1.1รวมยาทั้งหมด(1+2+3+4)'!H18+'5.vaccine'!H18</f>
        <v>0</v>
      </c>
      <c r="I18" s="201">
        <f>'1.1รวมยาทั้งหมด(1+2+3+4)'!I18+'5.vaccine'!I18</f>
        <v>0</v>
      </c>
      <c r="J18" s="201">
        <f>'1.1รวมยาทั้งหมด(1+2+3+4)'!J18+'5.vaccine'!J18</f>
        <v>0</v>
      </c>
      <c r="K18" s="201">
        <f>'1.1รวมยาทั้งหมด(1+2+3+4)'!K18+'5.vaccine'!K18</f>
        <v>0</v>
      </c>
      <c r="L18" s="201">
        <f>'1.1รวมยาทั้งหมด(1+2+3+4)'!L18+'5.vaccine'!L18</f>
        <v>0</v>
      </c>
      <c r="M18" s="201">
        <f>'1.1รวมยาทั้งหมด(1+2+3+4)'!M18+'5.vaccine'!M18</f>
        <v>0</v>
      </c>
      <c r="N18" s="201">
        <f>'1.1รวมยาทั้งหมด(1+2+3+4)'!N18+'5.vaccine'!N18</f>
        <v>0</v>
      </c>
      <c r="O18" s="213">
        <f t="shared" si="1"/>
        <v>43802.64</v>
      </c>
      <c r="P18" s="324">
        <f t="shared" si="0"/>
        <v>2.7657555518359727E-2</v>
      </c>
    </row>
    <row r="19" spans="1:16" ht="18" customHeight="1" x14ac:dyDescent="0.2">
      <c r="A19" s="25">
        <v>15</v>
      </c>
      <c r="B19" s="28" t="s">
        <v>12</v>
      </c>
      <c r="C19" s="200">
        <f>'1.1รวมยาทั้งหมด(1+2+3+4)'!C19+'5.vaccine'!C19</f>
        <v>59912.6</v>
      </c>
      <c r="D19" s="201">
        <f>'1.1รวมยาทั้งหมด(1+2+3+4)'!D19+'5.vaccine'!D19</f>
        <v>32228.87</v>
      </c>
      <c r="E19" s="201">
        <f>'1.1รวมยาทั้งหมด(1+2+3+4)'!E19+'5.vaccine'!E19</f>
        <v>27042.18</v>
      </c>
      <c r="F19" s="201">
        <f>'1.1รวมยาทั้งหมด(1+2+3+4)'!F19+'5.vaccine'!F19</f>
        <v>0</v>
      </c>
      <c r="G19" s="201">
        <f>'1.1รวมยาทั้งหมด(1+2+3+4)'!G19+'5.vaccine'!G19</f>
        <v>0</v>
      </c>
      <c r="H19" s="201">
        <f>'1.1รวมยาทั้งหมด(1+2+3+4)'!H19+'5.vaccine'!H19</f>
        <v>0</v>
      </c>
      <c r="I19" s="201">
        <f>'1.1รวมยาทั้งหมด(1+2+3+4)'!I19+'5.vaccine'!I19</f>
        <v>0</v>
      </c>
      <c r="J19" s="201">
        <f>'1.1รวมยาทั้งหมด(1+2+3+4)'!J19+'5.vaccine'!J19</f>
        <v>0</v>
      </c>
      <c r="K19" s="201">
        <f>'1.1รวมยาทั้งหมด(1+2+3+4)'!K19+'5.vaccine'!K19</f>
        <v>0</v>
      </c>
      <c r="L19" s="201">
        <f>'1.1รวมยาทั้งหมด(1+2+3+4)'!L19+'5.vaccine'!L19</f>
        <v>0</v>
      </c>
      <c r="M19" s="201">
        <f>'1.1รวมยาทั้งหมด(1+2+3+4)'!M19+'5.vaccine'!M19</f>
        <v>0</v>
      </c>
      <c r="N19" s="201">
        <f>'1.1รวมยาทั้งหมด(1+2+3+4)'!N19+'5.vaccine'!N19</f>
        <v>0</v>
      </c>
      <c r="O19" s="213">
        <f t="shared" si="1"/>
        <v>119183.65</v>
      </c>
      <c r="P19" s="324">
        <f t="shared" si="0"/>
        <v>7.5254103788167881E-2</v>
      </c>
    </row>
    <row r="20" spans="1:16" ht="18" customHeight="1" x14ac:dyDescent="0.2">
      <c r="A20" s="25">
        <v>16</v>
      </c>
      <c r="B20" s="29" t="s">
        <v>13</v>
      </c>
      <c r="C20" s="200">
        <f>'1.1รวมยาทั้งหมด(1+2+3+4)'!C20+'5.vaccine'!C20</f>
        <v>0</v>
      </c>
      <c r="D20" s="201">
        <f>'1.1รวมยาทั้งหมด(1+2+3+4)'!D20+'5.vaccine'!D20</f>
        <v>37556.269999999997</v>
      </c>
      <c r="E20" s="201">
        <f>'1.1รวมยาทั้งหมด(1+2+3+4)'!E20+'5.vaccine'!E20</f>
        <v>10720.05</v>
      </c>
      <c r="F20" s="201">
        <f>'1.1รวมยาทั้งหมด(1+2+3+4)'!F20+'5.vaccine'!F20</f>
        <v>0</v>
      </c>
      <c r="G20" s="201">
        <f>'1.1รวมยาทั้งหมด(1+2+3+4)'!G20+'5.vaccine'!G20</f>
        <v>0</v>
      </c>
      <c r="H20" s="201">
        <f>'1.1รวมยาทั้งหมด(1+2+3+4)'!H20+'5.vaccine'!H20</f>
        <v>0</v>
      </c>
      <c r="I20" s="201">
        <f>'1.1รวมยาทั้งหมด(1+2+3+4)'!I20+'5.vaccine'!I20</f>
        <v>0</v>
      </c>
      <c r="J20" s="201">
        <f>'1.1รวมยาทั้งหมด(1+2+3+4)'!J20+'5.vaccine'!J20</f>
        <v>0</v>
      </c>
      <c r="K20" s="201">
        <f>'1.1รวมยาทั้งหมด(1+2+3+4)'!K20+'5.vaccine'!K20</f>
        <v>0</v>
      </c>
      <c r="L20" s="201">
        <f>'1.1รวมยาทั้งหมด(1+2+3+4)'!L20+'5.vaccine'!L20</f>
        <v>0</v>
      </c>
      <c r="M20" s="201">
        <f>'1.1รวมยาทั้งหมด(1+2+3+4)'!M20+'5.vaccine'!M20</f>
        <v>0</v>
      </c>
      <c r="N20" s="201">
        <f>'1.1รวมยาทั้งหมด(1+2+3+4)'!N20+'5.vaccine'!N20</f>
        <v>0</v>
      </c>
      <c r="O20" s="213">
        <f t="shared" si="1"/>
        <v>48276.319999999992</v>
      </c>
      <c r="P20" s="324">
        <f t="shared" si="0"/>
        <v>3.0482295145272061E-2</v>
      </c>
    </row>
    <row r="21" spans="1:16" ht="18" customHeight="1" x14ac:dyDescent="0.2">
      <c r="A21" s="25">
        <v>17</v>
      </c>
      <c r="B21" s="28" t="s">
        <v>14</v>
      </c>
      <c r="C21" s="200">
        <f>'1.1รวมยาทั้งหมด(1+2+3+4)'!C21+'5.vaccine'!C21</f>
        <v>33058.630000000005</v>
      </c>
      <c r="D21" s="201">
        <f>'1.1รวมยาทั้งหมด(1+2+3+4)'!D21+'5.vaccine'!D21</f>
        <v>26182.42</v>
      </c>
      <c r="E21" s="201">
        <f>'1.1รวมยาทั้งหมด(1+2+3+4)'!E21+'5.vaccine'!E21</f>
        <v>20297.11</v>
      </c>
      <c r="F21" s="201">
        <f>'1.1รวมยาทั้งหมด(1+2+3+4)'!F21+'5.vaccine'!F21</f>
        <v>0</v>
      </c>
      <c r="G21" s="201">
        <f>'1.1รวมยาทั้งหมด(1+2+3+4)'!G21+'5.vaccine'!G21</f>
        <v>0</v>
      </c>
      <c r="H21" s="201">
        <f>'1.1รวมยาทั้งหมด(1+2+3+4)'!H21+'5.vaccine'!H21</f>
        <v>0</v>
      </c>
      <c r="I21" s="201">
        <f>'1.1รวมยาทั้งหมด(1+2+3+4)'!I21+'5.vaccine'!I21</f>
        <v>0</v>
      </c>
      <c r="J21" s="201">
        <f>'1.1รวมยาทั้งหมด(1+2+3+4)'!J21+'5.vaccine'!J21</f>
        <v>0</v>
      </c>
      <c r="K21" s="201">
        <f>'1.1รวมยาทั้งหมด(1+2+3+4)'!K21+'5.vaccine'!K21</f>
        <v>0</v>
      </c>
      <c r="L21" s="201">
        <f>'1.1รวมยาทั้งหมด(1+2+3+4)'!L21+'5.vaccine'!L21</f>
        <v>0</v>
      </c>
      <c r="M21" s="201">
        <f>'1.1รวมยาทั้งหมด(1+2+3+4)'!M21+'5.vaccine'!M21</f>
        <v>0</v>
      </c>
      <c r="N21" s="201">
        <f>'1.1รวมยาทั้งหมด(1+2+3+4)'!N21+'5.vaccine'!N21</f>
        <v>0</v>
      </c>
      <c r="O21" s="213">
        <f t="shared" si="1"/>
        <v>79538.16</v>
      </c>
      <c r="P21" s="324">
        <f t="shared" si="0"/>
        <v>5.0221426745697954E-2</v>
      </c>
    </row>
    <row r="22" spans="1:16" ht="18" customHeight="1" x14ac:dyDescent="0.2">
      <c r="A22" s="25">
        <v>18</v>
      </c>
      <c r="B22" s="28" t="s">
        <v>15</v>
      </c>
      <c r="C22" s="200">
        <f>'1.1รวมยาทั้งหมด(1+2+3+4)'!C22+'5.vaccine'!C22</f>
        <v>13334.7</v>
      </c>
      <c r="D22" s="201">
        <f>'1.1รวมยาทั้งหมด(1+2+3+4)'!D22+'5.vaccine'!D22</f>
        <v>30631.25</v>
      </c>
      <c r="E22" s="201">
        <f>'1.1รวมยาทั้งหมด(1+2+3+4)'!E22+'5.vaccine'!E22</f>
        <v>4483.97</v>
      </c>
      <c r="F22" s="201">
        <f>'1.1รวมยาทั้งหมด(1+2+3+4)'!F22+'5.vaccine'!F22</f>
        <v>0</v>
      </c>
      <c r="G22" s="201">
        <f>'1.1รวมยาทั้งหมด(1+2+3+4)'!G22+'5.vaccine'!G22</f>
        <v>0</v>
      </c>
      <c r="H22" s="201">
        <f>'1.1รวมยาทั้งหมด(1+2+3+4)'!H22+'5.vaccine'!H22</f>
        <v>0</v>
      </c>
      <c r="I22" s="201">
        <f>'1.1รวมยาทั้งหมด(1+2+3+4)'!I22+'5.vaccine'!I22</f>
        <v>0</v>
      </c>
      <c r="J22" s="201">
        <f>'1.1รวมยาทั้งหมด(1+2+3+4)'!J22+'5.vaccine'!J22</f>
        <v>0</v>
      </c>
      <c r="K22" s="201">
        <f>'1.1รวมยาทั้งหมด(1+2+3+4)'!K22+'5.vaccine'!K22</f>
        <v>0</v>
      </c>
      <c r="L22" s="201">
        <f>'1.1รวมยาทั้งหมด(1+2+3+4)'!L22+'5.vaccine'!L22</f>
        <v>0</v>
      </c>
      <c r="M22" s="201">
        <f>'1.1รวมยาทั้งหมด(1+2+3+4)'!M22+'5.vaccine'!M22</f>
        <v>0</v>
      </c>
      <c r="N22" s="201">
        <f>'1.1รวมยาทั้งหมด(1+2+3+4)'!N22+'5.vaccine'!N22</f>
        <v>0</v>
      </c>
      <c r="O22" s="213">
        <f t="shared" si="1"/>
        <v>48449.919999999998</v>
      </c>
      <c r="P22" s="324">
        <f t="shared" si="0"/>
        <v>3.0591908438854079E-2</v>
      </c>
    </row>
    <row r="23" spans="1:16" s="48" customFormat="1" ht="18" customHeight="1" x14ac:dyDescent="0.2">
      <c r="A23" s="45">
        <v>5.4166666666666669E-2</v>
      </c>
      <c r="B23" s="46" t="s">
        <v>22</v>
      </c>
      <c r="C23" s="212">
        <f>SUM(C5:C22)</f>
        <v>463810.27000000008</v>
      </c>
      <c r="D23" s="212">
        <f t="shared" ref="D23:O23" si="2">SUM(D5:D22)</f>
        <v>594130.89999999991</v>
      </c>
      <c r="E23" s="212">
        <f t="shared" si="2"/>
        <v>525808.33999999985</v>
      </c>
      <c r="F23" s="212">
        <f t="shared" si="2"/>
        <v>0</v>
      </c>
      <c r="G23" s="212">
        <f t="shared" si="2"/>
        <v>0</v>
      </c>
      <c r="H23" s="212">
        <f t="shared" si="2"/>
        <v>0</v>
      </c>
      <c r="I23" s="212">
        <f t="shared" si="2"/>
        <v>0</v>
      </c>
      <c r="J23" s="212">
        <f t="shared" si="2"/>
        <v>0</v>
      </c>
      <c r="K23" s="212">
        <f t="shared" si="2"/>
        <v>0</v>
      </c>
      <c r="L23" s="212">
        <f t="shared" si="2"/>
        <v>0</v>
      </c>
      <c r="M23" s="212">
        <f t="shared" si="2"/>
        <v>0</v>
      </c>
      <c r="N23" s="212">
        <f t="shared" si="2"/>
        <v>0</v>
      </c>
      <c r="O23" s="212">
        <f t="shared" si="2"/>
        <v>1583749.5099999995</v>
      </c>
      <c r="P23" s="325">
        <f t="shared" si="0"/>
        <v>1</v>
      </c>
    </row>
    <row r="24" spans="1:16" ht="18" customHeight="1" x14ac:dyDescent="0.2">
      <c r="A24" s="30">
        <v>19</v>
      </c>
      <c r="B24" s="31" t="s">
        <v>16</v>
      </c>
      <c r="C24" s="200">
        <f>'1.1รวมยาทั้งหมด(1+2+3+4)'!C24+'5.vaccine'!C24</f>
        <v>23408.81</v>
      </c>
      <c r="D24" s="200">
        <f>'1.1รวมยาทั้งหมด(1+2+3+4)'!D24+'5.vaccine'!D24</f>
        <v>15855.72</v>
      </c>
      <c r="E24" s="200">
        <f>'1.1รวมยาทั้งหมด(1+2+3+4)'!E24+'5.vaccine'!E24</f>
        <v>85987.41</v>
      </c>
      <c r="F24" s="200">
        <f>'1.1รวมยาทั้งหมด(1+2+3+4)'!F24+'5.vaccine'!F24</f>
        <v>0</v>
      </c>
      <c r="G24" s="200">
        <f>'1.1รวมยาทั้งหมด(1+2+3+4)'!G24+'5.vaccine'!G24</f>
        <v>0</v>
      </c>
      <c r="H24" s="200">
        <f>'1.1รวมยาทั้งหมด(1+2+3+4)'!H24+'5.vaccine'!H24</f>
        <v>0</v>
      </c>
      <c r="I24" s="200">
        <f>'1.1รวมยาทั้งหมด(1+2+3+4)'!I24+'5.vaccine'!I24</f>
        <v>0</v>
      </c>
      <c r="J24" s="200">
        <f>'1.1รวมยาทั้งหมด(1+2+3+4)'!J24+'5.vaccine'!J24</f>
        <v>0</v>
      </c>
      <c r="K24" s="200">
        <f>'1.1รวมยาทั้งหมด(1+2+3+4)'!K24+'5.vaccine'!K24</f>
        <v>0</v>
      </c>
      <c r="L24" s="200">
        <f>'1.1รวมยาทั้งหมด(1+2+3+4)'!L24+'5.vaccine'!L24</f>
        <v>0</v>
      </c>
      <c r="M24" s="200">
        <f>'1.1รวมยาทั้งหมด(1+2+3+4)'!M24+'5.vaccine'!M24</f>
        <v>0</v>
      </c>
      <c r="N24" s="200">
        <f>'1.1รวมยาทั้งหมด(1+2+3+4)'!N24+'5.vaccine'!N24</f>
        <v>0</v>
      </c>
      <c r="O24" s="213">
        <f t="shared" ref="O24:O27" si="3">SUM(C24:N24)</f>
        <v>125251.94</v>
      </c>
      <c r="P24" s="324">
        <f t="shared" si="0"/>
        <v>7.9085700869451284E-2</v>
      </c>
    </row>
    <row r="25" spans="1:16" ht="18" customHeight="1" x14ac:dyDescent="0.2">
      <c r="A25" s="30">
        <v>20</v>
      </c>
      <c r="B25" s="28" t="s">
        <v>17</v>
      </c>
      <c r="C25" s="200">
        <f>'1.1รวมยาทั้งหมด(1+2+3+4)'!C25+'5.vaccine'!C25</f>
        <v>0</v>
      </c>
      <c r="D25" s="200">
        <f>'1.1รวมยาทั้งหมด(1+2+3+4)'!D25+'5.vaccine'!D25</f>
        <v>0</v>
      </c>
      <c r="E25" s="200">
        <f>'1.1รวมยาทั้งหมด(1+2+3+4)'!E25+'5.vaccine'!E25</f>
        <v>0</v>
      </c>
      <c r="F25" s="200">
        <f>'1.1รวมยาทั้งหมด(1+2+3+4)'!F25+'5.vaccine'!F25</f>
        <v>0</v>
      </c>
      <c r="G25" s="200">
        <f>'1.1รวมยาทั้งหมด(1+2+3+4)'!G25+'5.vaccine'!G25</f>
        <v>0</v>
      </c>
      <c r="H25" s="200">
        <f>'1.1รวมยาทั้งหมด(1+2+3+4)'!H25+'5.vaccine'!H25</f>
        <v>0</v>
      </c>
      <c r="I25" s="200">
        <f>'1.1รวมยาทั้งหมด(1+2+3+4)'!I25+'5.vaccine'!I25</f>
        <v>0</v>
      </c>
      <c r="J25" s="200">
        <f>'1.1รวมยาทั้งหมด(1+2+3+4)'!J25+'5.vaccine'!J25</f>
        <v>0</v>
      </c>
      <c r="K25" s="200">
        <f>'1.1รวมยาทั้งหมด(1+2+3+4)'!K25+'5.vaccine'!K25</f>
        <v>0</v>
      </c>
      <c r="L25" s="200">
        <f>'1.1รวมยาทั้งหมด(1+2+3+4)'!L25+'5.vaccine'!L25</f>
        <v>0</v>
      </c>
      <c r="M25" s="200">
        <f>'1.1รวมยาทั้งหมด(1+2+3+4)'!M25+'5.vaccine'!M25</f>
        <v>0</v>
      </c>
      <c r="N25" s="200">
        <f>'1.1รวมยาทั้งหมด(1+2+3+4)'!N25+'5.vaccine'!N25</f>
        <v>0</v>
      </c>
      <c r="O25" s="213">
        <f t="shared" si="3"/>
        <v>0</v>
      </c>
      <c r="P25" s="324">
        <f t="shared" si="0"/>
        <v>0</v>
      </c>
    </row>
    <row r="26" spans="1:16" s="48" customFormat="1" ht="18" customHeight="1" x14ac:dyDescent="0.2">
      <c r="A26" s="49" t="s">
        <v>69</v>
      </c>
      <c r="B26" s="50" t="s">
        <v>23</v>
      </c>
      <c r="C26" s="214">
        <f>SUM(C24:C25)</f>
        <v>23408.81</v>
      </c>
      <c r="D26" s="214">
        <f t="shared" ref="D26:N26" si="4">SUM(D24:D25)</f>
        <v>15855.72</v>
      </c>
      <c r="E26" s="214">
        <f t="shared" si="4"/>
        <v>85987.41</v>
      </c>
      <c r="F26" s="214">
        <f t="shared" si="4"/>
        <v>0</v>
      </c>
      <c r="G26" s="214">
        <f t="shared" si="4"/>
        <v>0</v>
      </c>
      <c r="H26" s="214">
        <f t="shared" si="4"/>
        <v>0</v>
      </c>
      <c r="I26" s="214">
        <f t="shared" si="4"/>
        <v>0</v>
      </c>
      <c r="J26" s="214">
        <f t="shared" si="4"/>
        <v>0</v>
      </c>
      <c r="K26" s="214">
        <f t="shared" si="4"/>
        <v>0</v>
      </c>
      <c r="L26" s="214">
        <f t="shared" si="4"/>
        <v>0</v>
      </c>
      <c r="M26" s="214">
        <f t="shared" si="4"/>
        <v>0</v>
      </c>
      <c r="N26" s="214">
        <f t="shared" si="4"/>
        <v>0</v>
      </c>
      <c r="O26" s="215">
        <f t="shared" si="3"/>
        <v>125251.94</v>
      </c>
      <c r="P26" s="326">
        <f t="shared" si="0"/>
        <v>7.9085700869451284E-2</v>
      </c>
    </row>
    <row r="27" spans="1:16" s="55" customFormat="1" ht="18" customHeight="1" x14ac:dyDescent="0.2">
      <c r="A27" s="202" t="s">
        <v>66</v>
      </c>
      <c r="B27" s="216" t="s">
        <v>25</v>
      </c>
      <c r="C27" s="217">
        <f>C23+C26</f>
        <v>487219.08000000007</v>
      </c>
      <c r="D27" s="217">
        <f t="shared" ref="D27:N27" si="5">D23+D26</f>
        <v>609986.61999999988</v>
      </c>
      <c r="E27" s="217">
        <f t="shared" si="5"/>
        <v>611795.74999999988</v>
      </c>
      <c r="F27" s="217">
        <f t="shared" si="5"/>
        <v>0</v>
      </c>
      <c r="G27" s="217">
        <f t="shared" si="5"/>
        <v>0</v>
      </c>
      <c r="H27" s="217">
        <f t="shared" si="5"/>
        <v>0</v>
      </c>
      <c r="I27" s="217">
        <f t="shared" si="5"/>
        <v>0</v>
      </c>
      <c r="J27" s="217">
        <f t="shared" si="5"/>
        <v>0</v>
      </c>
      <c r="K27" s="217">
        <f t="shared" si="5"/>
        <v>0</v>
      </c>
      <c r="L27" s="217">
        <f t="shared" si="5"/>
        <v>0</v>
      </c>
      <c r="M27" s="217">
        <f t="shared" si="5"/>
        <v>0</v>
      </c>
      <c r="N27" s="217">
        <f t="shared" si="5"/>
        <v>0</v>
      </c>
      <c r="O27" s="218">
        <f t="shared" si="3"/>
        <v>1709001.4499999997</v>
      </c>
      <c r="P27" s="327">
        <f t="shared" si="0"/>
        <v>1.0790857008694514</v>
      </c>
    </row>
    <row r="28" spans="1:16" ht="13.5" customHeight="1" x14ac:dyDescent="0.2"/>
    <row r="29" spans="1:16" ht="13.5" customHeight="1" x14ac:dyDescent="0.2"/>
    <row r="30" spans="1:16" ht="18" customHeight="1" x14ac:dyDescent="0.2">
      <c r="G30" s="363" t="s">
        <v>72</v>
      </c>
      <c r="H30" s="363"/>
      <c r="I30" s="363"/>
      <c r="J30" s="3"/>
      <c r="K30" s="3"/>
      <c r="L30" s="363" t="s">
        <v>49</v>
      </c>
      <c r="M30" s="363"/>
      <c r="N30" s="363"/>
    </row>
    <row r="31" spans="1:16" ht="18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8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8" customHeight="1" x14ac:dyDescent="0.2">
      <c r="G33" s="2"/>
      <c r="H33" s="2"/>
      <c r="I33" s="2"/>
      <c r="J33" s="2"/>
      <c r="K33" s="3"/>
      <c r="L33" s="2"/>
      <c r="M33" s="2"/>
      <c r="N33" s="4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Q33"/>
  <sheetViews>
    <sheetView showGridLines="0" workbookViewId="0">
      <selection activeCell="B31" sqref="B31"/>
    </sheetView>
  </sheetViews>
  <sheetFormatPr defaultRowHeight="17.25" customHeight="1" x14ac:dyDescent="0.45"/>
  <cols>
    <col min="1" max="1" width="6.625" style="62" customWidth="1"/>
    <col min="2" max="2" width="14.375" style="193" customWidth="1"/>
    <col min="3" max="14" width="8.5" style="61" customWidth="1"/>
    <col min="15" max="15" width="9.375" style="166" customWidth="1"/>
    <col min="16" max="16" width="11.625" style="316" customWidth="1"/>
    <col min="17" max="16384" width="9" style="61"/>
  </cols>
  <sheetData>
    <row r="1" spans="1:17" s="144" customFormat="1" ht="21" customHeight="1" x14ac:dyDescent="0.2">
      <c r="A1" s="138"/>
      <c r="B1" s="139"/>
      <c r="C1" s="161"/>
      <c r="D1" s="139" t="s">
        <v>44</v>
      </c>
      <c r="E1" s="161"/>
      <c r="F1" s="161"/>
      <c r="G1" s="161"/>
      <c r="H1" s="161"/>
      <c r="K1" s="139" t="str">
        <f>สรุปยอด!C3</f>
        <v xml:space="preserve"> ปีงบประมาณ   2563</v>
      </c>
      <c r="L1" s="161"/>
      <c r="M1" s="161"/>
      <c r="N1" s="161"/>
      <c r="O1" s="161"/>
      <c r="P1" s="315"/>
      <c r="Q1" s="143"/>
    </row>
    <row r="2" spans="1:17" s="144" customFormat="1" ht="21" customHeight="1" x14ac:dyDescent="0.2">
      <c r="A2" s="138"/>
      <c r="B2" s="139"/>
      <c r="C2" s="139" t="str">
        <f>'[1]1.1.ยา(ทั่วไป)'!C2</f>
        <v>จาก ฝ่ายเภสัชกรรมชุมชน  โรงพยาบาลกุมภวาปี</v>
      </c>
      <c r="D2" s="161"/>
      <c r="F2" s="161"/>
      <c r="G2" s="161"/>
      <c r="I2" s="161"/>
      <c r="J2" s="161"/>
      <c r="K2" s="161"/>
      <c r="M2" s="162"/>
      <c r="N2" s="163" t="str">
        <f>สรุปยอด!D4</f>
        <v>รายงานข้อมูลณ วันที่ 28/12/63</v>
      </c>
      <c r="O2" s="164"/>
      <c r="P2" s="315"/>
      <c r="Q2" s="143"/>
    </row>
    <row r="3" spans="1:17" s="206" customFormat="1" ht="5.25" customHeight="1" x14ac:dyDescent="0.45">
      <c r="A3" s="166"/>
      <c r="B3" s="219"/>
      <c r="O3" s="166"/>
      <c r="P3" s="320"/>
    </row>
    <row r="4" spans="1:17" s="206" customFormat="1" ht="43.5" customHeight="1" x14ac:dyDescent="0.45">
      <c r="A4" s="199" t="s">
        <v>0</v>
      </c>
      <c r="B4" s="220" t="s">
        <v>1</v>
      </c>
      <c r="C4" s="168" t="s">
        <v>27</v>
      </c>
      <c r="D4" s="168" t="s">
        <v>28</v>
      </c>
      <c r="E4" s="168" t="s">
        <v>29</v>
      </c>
      <c r="F4" s="168" t="s">
        <v>30</v>
      </c>
      <c r="G4" s="168" t="s">
        <v>31</v>
      </c>
      <c r="H4" s="168" t="s">
        <v>32</v>
      </c>
      <c r="I4" s="168" t="s">
        <v>33</v>
      </c>
      <c r="J4" s="168" t="s">
        <v>34</v>
      </c>
      <c r="K4" s="168" t="s">
        <v>35</v>
      </c>
      <c r="L4" s="168" t="s">
        <v>36</v>
      </c>
      <c r="M4" s="168" t="s">
        <v>37</v>
      </c>
      <c r="N4" s="168" t="s">
        <v>38</v>
      </c>
      <c r="O4" s="168" t="s">
        <v>39</v>
      </c>
      <c r="P4" s="321" t="s">
        <v>40</v>
      </c>
    </row>
    <row r="5" spans="1:17" ht="17.25" customHeight="1" x14ac:dyDescent="0.45">
      <c r="A5" s="25">
        <v>1</v>
      </c>
      <c r="B5" s="26" t="s">
        <v>18</v>
      </c>
      <c r="C5" s="183">
        <f>'1.1รวมยาทั้งหมด(1+2+3+4)'!C5+'2.รวมวชย ทุกประเภท'!C5</f>
        <v>79211.58</v>
      </c>
      <c r="D5" s="183">
        <f>'1.1รวมยาทั้งหมด(1+2+3+4)'!D5+'2.รวมวชย ทุกประเภท'!D5</f>
        <v>69785.08</v>
      </c>
      <c r="E5" s="183">
        <f>'1.1รวมยาทั้งหมด(1+2+3+4)'!E5+'2.รวมวชย ทุกประเภท'!E5</f>
        <v>83881.3</v>
      </c>
      <c r="F5" s="183">
        <f>'1.1รวมยาทั้งหมด(1+2+3+4)'!F5+'2.รวมวชย ทุกประเภท'!F5</f>
        <v>0</v>
      </c>
      <c r="G5" s="183">
        <f>'1.1รวมยาทั้งหมด(1+2+3+4)'!G5+'2.รวมวชย ทุกประเภท'!G5</f>
        <v>0</v>
      </c>
      <c r="H5" s="183">
        <f>'1.1รวมยาทั้งหมด(1+2+3+4)'!H5+'2.รวมวชย ทุกประเภท'!H5</f>
        <v>0</v>
      </c>
      <c r="I5" s="183">
        <f>'1.1รวมยาทั้งหมด(1+2+3+4)'!I5+'2.รวมวชย ทุกประเภท'!I5</f>
        <v>0</v>
      </c>
      <c r="J5" s="183">
        <f>'1.1รวมยาทั้งหมด(1+2+3+4)'!J5+'2.รวมวชย ทุกประเภท'!J5</f>
        <v>0</v>
      </c>
      <c r="K5" s="183">
        <f>'1.1รวมยาทั้งหมด(1+2+3+4)'!K5+'2.รวมวชย ทุกประเภท'!K5</f>
        <v>0</v>
      </c>
      <c r="L5" s="183">
        <f>'1.1รวมยาทั้งหมด(1+2+3+4)'!L5+'2.รวมวชย ทุกประเภท'!L5</f>
        <v>0</v>
      </c>
      <c r="M5" s="183">
        <f>'1.1รวมยาทั้งหมด(1+2+3+4)'!M5+'2.รวมวชย ทุกประเภท'!M5</f>
        <v>0</v>
      </c>
      <c r="N5" s="183">
        <f>'1.1รวมยาทั้งหมด(1+2+3+4)'!N5+'2.รวมวชย ทุกประเภท'!N5</f>
        <v>0</v>
      </c>
      <c r="O5" s="221">
        <f>SUM(C5:N5)</f>
        <v>232877.96000000002</v>
      </c>
      <c r="P5" s="313">
        <f t="shared" ref="P5:P27" si="0">O5/$O$23</f>
        <v>0.18638720698332589</v>
      </c>
    </row>
    <row r="6" spans="1:17" ht="17.25" customHeight="1" x14ac:dyDescent="0.45">
      <c r="A6" s="25">
        <v>2</v>
      </c>
      <c r="B6" s="26" t="s">
        <v>19</v>
      </c>
      <c r="C6" s="183">
        <f>'1.1รวมยาทั้งหมด(1+2+3+4)'!C6+'2.รวมวชย ทุกประเภท'!C6</f>
        <v>46682.400000000001</v>
      </c>
      <c r="D6" s="183">
        <f>'1.1รวมยาทั้งหมด(1+2+3+4)'!D6+'2.รวมวชย ทุกประเภท'!D6</f>
        <v>37721.65</v>
      </c>
      <c r="E6" s="183">
        <f>'1.1รวมยาทั้งหมด(1+2+3+4)'!E6+'2.รวมวชย ทุกประเภท'!E6</f>
        <v>51572</v>
      </c>
      <c r="F6" s="183">
        <f>'1.1รวมยาทั้งหมด(1+2+3+4)'!F6+'2.รวมวชย ทุกประเภท'!F6</f>
        <v>0</v>
      </c>
      <c r="G6" s="183">
        <f>'1.1รวมยาทั้งหมด(1+2+3+4)'!G6+'2.รวมวชย ทุกประเภท'!G6</f>
        <v>0</v>
      </c>
      <c r="H6" s="183">
        <f>'1.1รวมยาทั้งหมด(1+2+3+4)'!H6+'2.รวมวชย ทุกประเภท'!H6</f>
        <v>0</v>
      </c>
      <c r="I6" s="183">
        <f>'1.1รวมยาทั้งหมด(1+2+3+4)'!I6+'2.รวมวชย ทุกประเภท'!I6</f>
        <v>0</v>
      </c>
      <c r="J6" s="183">
        <f>'1.1รวมยาทั้งหมด(1+2+3+4)'!J6+'2.รวมวชย ทุกประเภท'!J6</f>
        <v>0</v>
      </c>
      <c r="K6" s="183">
        <f>'1.1รวมยาทั้งหมด(1+2+3+4)'!K6+'2.รวมวชย ทุกประเภท'!K6</f>
        <v>0</v>
      </c>
      <c r="L6" s="183">
        <f>'1.1รวมยาทั้งหมด(1+2+3+4)'!L6+'2.รวมวชย ทุกประเภท'!L6</f>
        <v>0</v>
      </c>
      <c r="M6" s="183">
        <f>'1.1รวมยาทั้งหมด(1+2+3+4)'!M6+'2.รวมวชย ทุกประเภท'!M6</f>
        <v>0</v>
      </c>
      <c r="N6" s="183">
        <f>'1.1รวมยาทั้งหมด(1+2+3+4)'!N6+'2.รวมวชย ทุกประเภท'!N6</f>
        <v>0</v>
      </c>
      <c r="O6" s="221">
        <f t="shared" ref="O6:O22" si="1">SUM(C6:N6)</f>
        <v>135976.04999999999</v>
      </c>
      <c r="P6" s="313">
        <f t="shared" si="0"/>
        <v>0.10883037697567029</v>
      </c>
    </row>
    <row r="7" spans="1:17" ht="17.25" customHeight="1" x14ac:dyDescent="0.45">
      <c r="A7" s="25">
        <v>3</v>
      </c>
      <c r="B7" s="26" t="s">
        <v>20</v>
      </c>
      <c r="C7" s="183">
        <f>'1.1รวมยาทั้งหมด(1+2+3+4)'!C7+'2.รวมวชย ทุกประเภท'!C7</f>
        <v>27500.440000000002</v>
      </c>
      <c r="D7" s="183">
        <f>'1.1รวมยาทั้งหมด(1+2+3+4)'!D7+'2.รวมวชย ทุกประเภท'!D7</f>
        <v>20089.77</v>
      </c>
      <c r="E7" s="183">
        <f>'1.1รวมยาทั้งหมด(1+2+3+4)'!E7+'2.รวมวชย ทุกประเภท'!E7</f>
        <v>12002.65</v>
      </c>
      <c r="F7" s="183">
        <f>'1.1รวมยาทั้งหมด(1+2+3+4)'!F7+'2.รวมวชย ทุกประเภท'!F7</f>
        <v>0</v>
      </c>
      <c r="G7" s="183">
        <f>'1.1รวมยาทั้งหมด(1+2+3+4)'!G7+'2.รวมวชย ทุกประเภท'!G7</f>
        <v>0</v>
      </c>
      <c r="H7" s="183">
        <f>'1.1รวมยาทั้งหมด(1+2+3+4)'!H7+'2.รวมวชย ทุกประเภท'!H7</f>
        <v>0</v>
      </c>
      <c r="I7" s="183">
        <f>'1.1รวมยาทั้งหมด(1+2+3+4)'!I7+'2.รวมวชย ทุกประเภท'!I7</f>
        <v>0</v>
      </c>
      <c r="J7" s="183">
        <f>'1.1รวมยาทั้งหมด(1+2+3+4)'!J7+'2.รวมวชย ทุกประเภท'!J7</f>
        <v>0</v>
      </c>
      <c r="K7" s="183">
        <f>'1.1รวมยาทั้งหมด(1+2+3+4)'!K7+'2.รวมวชย ทุกประเภท'!K7</f>
        <v>0</v>
      </c>
      <c r="L7" s="183">
        <f>'1.1รวมยาทั้งหมด(1+2+3+4)'!L7+'2.รวมวชย ทุกประเภท'!L7</f>
        <v>0</v>
      </c>
      <c r="M7" s="183">
        <f>'1.1รวมยาทั้งหมด(1+2+3+4)'!M7+'2.รวมวชย ทุกประเภท'!M7</f>
        <v>0</v>
      </c>
      <c r="N7" s="183">
        <f>'1.1รวมยาทั้งหมด(1+2+3+4)'!N7+'2.รวมวชย ทุกประเภท'!N7</f>
        <v>0</v>
      </c>
      <c r="O7" s="221">
        <f t="shared" si="1"/>
        <v>59592.860000000008</v>
      </c>
      <c r="P7" s="313">
        <f t="shared" si="0"/>
        <v>4.769599807361917E-2</v>
      </c>
    </row>
    <row r="8" spans="1:17" ht="17.25" customHeight="1" x14ac:dyDescent="0.45">
      <c r="A8" s="25">
        <v>4</v>
      </c>
      <c r="B8" s="26" t="s">
        <v>21</v>
      </c>
      <c r="C8" s="183">
        <f>'1.1รวมยาทั้งหมด(1+2+3+4)'!C8+'2.รวมวชย ทุกประเภท'!C8</f>
        <v>2700</v>
      </c>
      <c r="D8" s="183">
        <f>'1.1รวมยาทั้งหมด(1+2+3+4)'!D8+'2.รวมวชย ทุกประเภท'!D8</f>
        <v>56356.95</v>
      </c>
      <c r="E8" s="183">
        <f>'1.1รวมยาทั้งหมด(1+2+3+4)'!E8+'2.รวมวชย ทุกประเภท'!E8</f>
        <v>64565.8</v>
      </c>
      <c r="F8" s="183">
        <f>'1.1รวมยาทั้งหมด(1+2+3+4)'!F8+'2.รวมวชย ทุกประเภท'!F8</f>
        <v>0</v>
      </c>
      <c r="G8" s="183">
        <f>'1.1รวมยาทั้งหมด(1+2+3+4)'!G8+'2.รวมวชย ทุกประเภท'!G8</f>
        <v>0</v>
      </c>
      <c r="H8" s="183">
        <f>'1.1รวมยาทั้งหมด(1+2+3+4)'!H8+'2.รวมวชย ทุกประเภท'!H8</f>
        <v>0</v>
      </c>
      <c r="I8" s="183">
        <f>'1.1รวมยาทั้งหมด(1+2+3+4)'!I8+'2.รวมวชย ทุกประเภท'!I8</f>
        <v>0</v>
      </c>
      <c r="J8" s="183">
        <f>'1.1รวมยาทั้งหมด(1+2+3+4)'!J8+'2.รวมวชย ทุกประเภท'!J8</f>
        <v>0</v>
      </c>
      <c r="K8" s="183">
        <f>'1.1รวมยาทั้งหมด(1+2+3+4)'!K8+'2.รวมวชย ทุกประเภท'!K8</f>
        <v>0</v>
      </c>
      <c r="L8" s="183">
        <f>'1.1รวมยาทั้งหมด(1+2+3+4)'!L8+'2.รวมวชย ทุกประเภท'!L8</f>
        <v>0</v>
      </c>
      <c r="M8" s="183">
        <f>'1.1รวมยาทั้งหมด(1+2+3+4)'!M8+'2.รวมวชย ทุกประเภท'!M8</f>
        <v>0</v>
      </c>
      <c r="N8" s="183">
        <f>'1.1รวมยาทั้งหมด(1+2+3+4)'!N8+'2.รวมวชย ทุกประเภท'!N8</f>
        <v>0</v>
      </c>
      <c r="O8" s="221">
        <f t="shared" si="1"/>
        <v>123622.75</v>
      </c>
      <c r="P8" s="313">
        <f t="shared" si="0"/>
        <v>9.8943236586656588E-2</v>
      </c>
    </row>
    <row r="9" spans="1:17" ht="17.25" customHeight="1" x14ac:dyDescent="0.45">
      <c r="A9" s="25">
        <v>5</v>
      </c>
      <c r="B9" s="26" t="s">
        <v>2</v>
      </c>
      <c r="C9" s="183">
        <f>'1.1รวมยาทั้งหมด(1+2+3+4)'!C9+'2.รวมวชย ทุกประเภท'!C9</f>
        <v>9201.119999999999</v>
      </c>
      <c r="D9" s="183">
        <f>'1.1รวมยาทั้งหมด(1+2+3+4)'!D9+'2.รวมวชย ทุกประเภท'!D9</f>
        <v>26251.809999999998</v>
      </c>
      <c r="E9" s="183">
        <f>'1.1รวมยาทั้งหมด(1+2+3+4)'!E9+'2.รวมวชย ทุกประเภท'!E9</f>
        <v>23945.68</v>
      </c>
      <c r="F9" s="183">
        <f>'1.1รวมยาทั้งหมด(1+2+3+4)'!F9+'2.รวมวชย ทุกประเภท'!F9</f>
        <v>0</v>
      </c>
      <c r="G9" s="183">
        <f>'1.1รวมยาทั้งหมด(1+2+3+4)'!G9+'2.รวมวชย ทุกประเภท'!G9</f>
        <v>0</v>
      </c>
      <c r="H9" s="183">
        <f>'1.1รวมยาทั้งหมด(1+2+3+4)'!H9+'2.รวมวชย ทุกประเภท'!H9</f>
        <v>0</v>
      </c>
      <c r="I9" s="183">
        <f>'1.1รวมยาทั้งหมด(1+2+3+4)'!I9+'2.รวมวชย ทุกประเภท'!I9</f>
        <v>0</v>
      </c>
      <c r="J9" s="183">
        <f>'1.1รวมยาทั้งหมด(1+2+3+4)'!J9+'2.รวมวชย ทุกประเภท'!J9</f>
        <v>0</v>
      </c>
      <c r="K9" s="183">
        <f>'1.1รวมยาทั้งหมด(1+2+3+4)'!K9+'2.รวมวชย ทุกประเภท'!K9</f>
        <v>0</v>
      </c>
      <c r="L9" s="183">
        <f>'1.1รวมยาทั้งหมด(1+2+3+4)'!L9+'2.รวมวชย ทุกประเภท'!L9</f>
        <v>0</v>
      </c>
      <c r="M9" s="183">
        <f>'1.1รวมยาทั้งหมด(1+2+3+4)'!M9+'2.รวมวชย ทุกประเภท'!M9</f>
        <v>0</v>
      </c>
      <c r="N9" s="183">
        <f>'1.1รวมยาทั้งหมด(1+2+3+4)'!N9+'2.รวมวชย ทุกประเภท'!N9</f>
        <v>0</v>
      </c>
      <c r="O9" s="221">
        <f t="shared" si="1"/>
        <v>59398.609999999993</v>
      </c>
      <c r="P9" s="313">
        <f t="shared" si="0"/>
        <v>4.7540527307057517E-2</v>
      </c>
    </row>
    <row r="10" spans="1:17" ht="17.25" customHeight="1" x14ac:dyDescent="0.45">
      <c r="A10" s="25">
        <v>6</v>
      </c>
      <c r="B10" s="26" t="s">
        <v>3</v>
      </c>
      <c r="C10" s="183">
        <f>'1.1รวมยาทั้งหมด(1+2+3+4)'!C10+'2.รวมวชย ทุกประเภท'!C10</f>
        <v>11786.29</v>
      </c>
      <c r="D10" s="183">
        <f>'1.1รวมยาทั้งหมด(1+2+3+4)'!D10+'2.รวมวชย ทุกประเภท'!D10</f>
        <v>25912.05</v>
      </c>
      <c r="E10" s="183">
        <f>'1.1รวมยาทั้งหมด(1+2+3+4)'!E10+'2.รวมวชย ทุกประเภท'!E10</f>
        <v>9521</v>
      </c>
      <c r="F10" s="183">
        <f>'1.1รวมยาทั้งหมด(1+2+3+4)'!F10+'2.รวมวชย ทุกประเภท'!F10</f>
        <v>0</v>
      </c>
      <c r="G10" s="183">
        <f>'1.1รวมยาทั้งหมด(1+2+3+4)'!G10+'2.รวมวชย ทุกประเภท'!G10</f>
        <v>0</v>
      </c>
      <c r="H10" s="183">
        <f>'1.1รวมยาทั้งหมด(1+2+3+4)'!H10+'2.รวมวชย ทุกประเภท'!H10</f>
        <v>0</v>
      </c>
      <c r="I10" s="183">
        <f>'1.1รวมยาทั้งหมด(1+2+3+4)'!I10+'2.รวมวชย ทุกประเภท'!I10</f>
        <v>0</v>
      </c>
      <c r="J10" s="183">
        <f>'1.1รวมยาทั้งหมด(1+2+3+4)'!J10+'2.รวมวชย ทุกประเภท'!J10</f>
        <v>0</v>
      </c>
      <c r="K10" s="183">
        <f>'1.1รวมยาทั้งหมด(1+2+3+4)'!K10+'2.รวมวชย ทุกประเภท'!K10</f>
        <v>0</v>
      </c>
      <c r="L10" s="183">
        <f>'1.1รวมยาทั้งหมด(1+2+3+4)'!L10+'2.รวมวชย ทุกประเภท'!L10</f>
        <v>0</v>
      </c>
      <c r="M10" s="183">
        <f>'1.1รวมยาทั้งหมด(1+2+3+4)'!M10+'2.รวมวชย ทุกประเภท'!M10</f>
        <v>0</v>
      </c>
      <c r="N10" s="183">
        <f>'1.1รวมยาทั้งหมด(1+2+3+4)'!N10+'2.รวมวชย ทุกประเภท'!N10</f>
        <v>0</v>
      </c>
      <c r="O10" s="221">
        <f t="shared" si="1"/>
        <v>47219.34</v>
      </c>
      <c r="P10" s="313">
        <f t="shared" si="0"/>
        <v>3.7792674318325524E-2</v>
      </c>
    </row>
    <row r="11" spans="1:17" ht="17.25" customHeight="1" x14ac:dyDescent="0.45">
      <c r="A11" s="25">
        <v>7</v>
      </c>
      <c r="B11" s="26" t="s">
        <v>4</v>
      </c>
      <c r="C11" s="183">
        <f>'1.1รวมยาทั้งหมด(1+2+3+4)'!C11+'2.รวมวชย ทุกประเภท'!C11</f>
        <v>3899</v>
      </c>
      <c r="D11" s="183">
        <f>'1.1รวมยาทั้งหมด(1+2+3+4)'!D11+'2.รวมวชย ทุกประเภท'!D11</f>
        <v>15740.26</v>
      </c>
      <c r="E11" s="183">
        <f>'1.1รวมยาทั้งหมด(1+2+3+4)'!E11+'2.รวมวชย ทุกประเภท'!E11</f>
        <v>13246.630000000001</v>
      </c>
      <c r="F11" s="183">
        <f>'1.1รวมยาทั้งหมด(1+2+3+4)'!F11+'2.รวมวชย ทุกประเภท'!F11</f>
        <v>0</v>
      </c>
      <c r="G11" s="183">
        <f>'1.1รวมยาทั้งหมด(1+2+3+4)'!G11+'2.รวมวชย ทุกประเภท'!G11</f>
        <v>0</v>
      </c>
      <c r="H11" s="183">
        <f>'1.1รวมยาทั้งหมด(1+2+3+4)'!H11+'2.รวมวชย ทุกประเภท'!H11</f>
        <v>0</v>
      </c>
      <c r="I11" s="183">
        <f>'1.1รวมยาทั้งหมด(1+2+3+4)'!I11+'2.รวมวชย ทุกประเภท'!I11</f>
        <v>0</v>
      </c>
      <c r="J11" s="183">
        <f>'1.1รวมยาทั้งหมด(1+2+3+4)'!J11+'2.รวมวชย ทุกประเภท'!J11</f>
        <v>0</v>
      </c>
      <c r="K11" s="183">
        <f>'1.1รวมยาทั้งหมด(1+2+3+4)'!K11+'2.รวมวชย ทุกประเภท'!K11</f>
        <v>0</v>
      </c>
      <c r="L11" s="183">
        <f>'1.1รวมยาทั้งหมด(1+2+3+4)'!L11+'2.รวมวชย ทุกประเภท'!L11</f>
        <v>0</v>
      </c>
      <c r="M11" s="183">
        <f>'1.1รวมยาทั้งหมด(1+2+3+4)'!M11+'2.รวมวชย ทุกประเภท'!M11</f>
        <v>0</v>
      </c>
      <c r="N11" s="183">
        <f>'1.1รวมยาทั้งหมด(1+2+3+4)'!N11+'2.รวมวชย ทุกประเภท'!N11</f>
        <v>0</v>
      </c>
      <c r="O11" s="221">
        <f t="shared" si="1"/>
        <v>32885.89</v>
      </c>
      <c r="P11" s="313">
        <f t="shared" si="0"/>
        <v>2.6320692547551029E-2</v>
      </c>
    </row>
    <row r="12" spans="1:17" ht="17.25" customHeight="1" x14ac:dyDescent="0.45">
      <c r="A12" s="25">
        <v>8</v>
      </c>
      <c r="B12" s="26" t="s">
        <v>5</v>
      </c>
      <c r="C12" s="183">
        <f>'1.1รวมยาทั้งหมด(1+2+3+4)'!C12+'2.รวมวชย ทุกประเภท'!C12</f>
        <v>32993</v>
      </c>
      <c r="D12" s="183">
        <f>'1.1รวมยาทั้งหมด(1+2+3+4)'!D12+'2.รวมวชย ทุกประเภท'!D12</f>
        <v>34748.729999999996</v>
      </c>
      <c r="E12" s="183">
        <f>'1.1รวมยาทั้งหมด(1+2+3+4)'!E12+'2.รวมวชย ทุกประเภท'!E12</f>
        <v>31878.97</v>
      </c>
      <c r="F12" s="183">
        <f>'1.1รวมยาทั้งหมด(1+2+3+4)'!F12+'2.รวมวชย ทุกประเภท'!F12</f>
        <v>0</v>
      </c>
      <c r="G12" s="183">
        <f>'1.1รวมยาทั้งหมด(1+2+3+4)'!G12+'2.รวมวชย ทุกประเภท'!G12</f>
        <v>0</v>
      </c>
      <c r="H12" s="183">
        <f>'1.1รวมยาทั้งหมด(1+2+3+4)'!H12+'2.รวมวชย ทุกประเภท'!H12</f>
        <v>0</v>
      </c>
      <c r="I12" s="183">
        <f>'1.1รวมยาทั้งหมด(1+2+3+4)'!I12+'2.รวมวชย ทุกประเภท'!I12</f>
        <v>0</v>
      </c>
      <c r="J12" s="183">
        <f>'1.1รวมยาทั้งหมด(1+2+3+4)'!J12+'2.รวมวชย ทุกประเภท'!J12</f>
        <v>0</v>
      </c>
      <c r="K12" s="183">
        <f>'1.1รวมยาทั้งหมด(1+2+3+4)'!K12+'2.รวมวชย ทุกประเภท'!K12</f>
        <v>0</v>
      </c>
      <c r="L12" s="183">
        <f>'1.1รวมยาทั้งหมด(1+2+3+4)'!L12+'2.รวมวชย ทุกประเภท'!L12</f>
        <v>0</v>
      </c>
      <c r="M12" s="183">
        <f>'1.1รวมยาทั้งหมด(1+2+3+4)'!M12+'2.รวมวชย ทุกประเภท'!M12</f>
        <v>0</v>
      </c>
      <c r="N12" s="183">
        <f>'1.1รวมยาทั้งหมด(1+2+3+4)'!N12+'2.รวมวชย ทุกประเภท'!N12</f>
        <v>0</v>
      </c>
      <c r="O12" s="221">
        <f t="shared" si="1"/>
        <v>99620.7</v>
      </c>
      <c r="P12" s="313">
        <f t="shared" si="0"/>
        <v>7.9732852480860844E-2</v>
      </c>
    </row>
    <row r="13" spans="1:17" ht="17.25" customHeight="1" x14ac:dyDescent="0.45">
      <c r="A13" s="25">
        <v>9</v>
      </c>
      <c r="B13" s="26" t="s">
        <v>6</v>
      </c>
      <c r="C13" s="183">
        <f>'1.1รวมยาทั้งหมด(1+2+3+4)'!C13+'2.รวมวชย ทุกประเภท'!C13</f>
        <v>496</v>
      </c>
      <c r="D13" s="183">
        <f>'1.1รวมยาทั้งหมด(1+2+3+4)'!D13+'2.รวมวชย ทุกประเภท'!D13</f>
        <v>26843.43</v>
      </c>
      <c r="E13" s="183">
        <f>'1.1รวมยาทั้งหมด(1+2+3+4)'!E13+'2.รวมวชย ทุกประเภท'!E13</f>
        <v>8617.66</v>
      </c>
      <c r="F13" s="183">
        <f>'1.1รวมยาทั้งหมด(1+2+3+4)'!F13+'2.รวมวชย ทุกประเภท'!F13</f>
        <v>0</v>
      </c>
      <c r="G13" s="183">
        <f>'1.1รวมยาทั้งหมด(1+2+3+4)'!G13+'2.รวมวชย ทุกประเภท'!G13</f>
        <v>0</v>
      </c>
      <c r="H13" s="183">
        <f>'1.1รวมยาทั้งหมด(1+2+3+4)'!H13+'2.รวมวชย ทุกประเภท'!H13</f>
        <v>0</v>
      </c>
      <c r="I13" s="183">
        <f>'1.1รวมยาทั้งหมด(1+2+3+4)'!I13+'2.รวมวชย ทุกประเภท'!I13</f>
        <v>0</v>
      </c>
      <c r="J13" s="183">
        <f>'1.1รวมยาทั้งหมด(1+2+3+4)'!J13+'2.รวมวชย ทุกประเภท'!J13</f>
        <v>0</v>
      </c>
      <c r="K13" s="183">
        <f>'1.1รวมยาทั้งหมด(1+2+3+4)'!K13+'2.รวมวชย ทุกประเภท'!K13</f>
        <v>0</v>
      </c>
      <c r="L13" s="183">
        <f>'1.1รวมยาทั้งหมด(1+2+3+4)'!L13+'2.รวมวชย ทุกประเภท'!L13</f>
        <v>0</v>
      </c>
      <c r="M13" s="183">
        <f>'1.1รวมยาทั้งหมด(1+2+3+4)'!M13+'2.รวมวชย ทุกประเภท'!M13</f>
        <v>0</v>
      </c>
      <c r="N13" s="183">
        <f>'1.1รวมยาทั้งหมด(1+2+3+4)'!N13+'2.รวมวชย ทุกประเภท'!N13</f>
        <v>0</v>
      </c>
      <c r="O13" s="221">
        <f t="shared" si="1"/>
        <v>35957.089999999997</v>
      </c>
      <c r="P13" s="313">
        <f t="shared" si="0"/>
        <v>2.8778771406053522E-2</v>
      </c>
    </row>
    <row r="14" spans="1:17" ht="17.25" customHeight="1" x14ac:dyDescent="0.45">
      <c r="A14" s="25">
        <v>10</v>
      </c>
      <c r="B14" s="26" t="s">
        <v>7</v>
      </c>
      <c r="C14" s="183">
        <f>'1.1รวมยาทั้งหมด(1+2+3+4)'!C14+'2.รวมวชย ทุกประเภท'!C14</f>
        <v>0</v>
      </c>
      <c r="D14" s="183">
        <f>'1.1รวมยาทั้งหมด(1+2+3+4)'!D14+'2.รวมวชย ทุกประเภท'!D14</f>
        <v>27858.489999999998</v>
      </c>
      <c r="E14" s="183">
        <f>'1.1รวมยาทั้งหมด(1+2+3+4)'!E14+'2.รวมวชย ทุกประเภท'!E14</f>
        <v>13737.43</v>
      </c>
      <c r="F14" s="183">
        <f>'1.1รวมยาทั้งหมด(1+2+3+4)'!F14+'2.รวมวชย ทุกประเภท'!F14</f>
        <v>0</v>
      </c>
      <c r="G14" s="183">
        <f>'1.1รวมยาทั้งหมด(1+2+3+4)'!G14+'2.รวมวชย ทุกประเภท'!G14</f>
        <v>0</v>
      </c>
      <c r="H14" s="183">
        <f>'1.1รวมยาทั้งหมด(1+2+3+4)'!H14+'2.รวมวชย ทุกประเภท'!H14</f>
        <v>0</v>
      </c>
      <c r="I14" s="183">
        <f>'1.1รวมยาทั้งหมด(1+2+3+4)'!I14+'2.รวมวชย ทุกประเภท'!I14</f>
        <v>0</v>
      </c>
      <c r="J14" s="183">
        <f>'1.1รวมยาทั้งหมด(1+2+3+4)'!J14+'2.รวมวชย ทุกประเภท'!J14</f>
        <v>0</v>
      </c>
      <c r="K14" s="183">
        <f>'1.1รวมยาทั้งหมด(1+2+3+4)'!K14+'2.รวมวชย ทุกประเภท'!K14</f>
        <v>0</v>
      </c>
      <c r="L14" s="183">
        <f>'1.1รวมยาทั้งหมด(1+2+3+4)'!L14+'2.รวมวชย ทุกประเภท'!L14</f>
        <v>0</v>
      </c>
      <c r="M14" s="183">
        <f>'1.1รวมยาทั้งหมด(1+2+3+4)'!M14+'2.รวมวชย ทุกประเภท'!M14</f>
        <v>0</v>
      </c>
      <c r="N14" s="183">
        <f>'1.1รวมยาทั้งหมด(1+2+3+4)'!N14+'2.รวมวชย ทุกประเภท'!N14</f>
        <v>0</v>
      </c>
      <c r="O14" s="221">
        <f t="shared" si="1"/>
        <v>41595.919999999998</v>
      </c>
      <c r="P14" s="313">
        <f t="shared" si="0"/>
        <v>3.3291889669172056E-2</v>
      </c>
    </row>
    <row r="15" spans="1:17" ht="17.25" customHeight="1" x14ac:dyDescent="0.45">
      <c r="A15" s="25">
        <v>11</v>
      </c>
      <c r="B15" s="26" t="s">
        <v>8</v>
      </c>
      <c r="C15" s="183">
        <f>'1.1รวมยาทั้งหมด(1+2+3+4)'!C15+'2.รวมวชย ทุกประเภท'!C15</f>
        <v>18008.09</v>
      </c>
      <c r="D15" s="183">
        <f>'1.1รวมยาทั้งหมด(1+2+3+4)'!D15+'2.รวมวชย ทุกประเภท'!D15</f>
        <v>9449.98</v>
      </c>
      <c r="E15" s="183">
        <f>'1.1รวมยาทั้งหมด(1+2+3+4)'!E15+'2.รวมวชย ทุกประเภท'!E15</f>
        <v>35705.15</v>
      </c>
      <c r="F15" s="183">
        <f>'1.1รวมยาทั้งหมด(1+2+3+4)'!F15+'2.รวมวชย ทุกประเภท'!F15</f>
        <v>0</v>
      </c>
      <c r="G15" s="183">
        <f>'1.1รวมยาทั้งหมด(1+2+3+4)'!G15+'2.รวมวชย ทุกประเภท'!G15</f>
        <v>0</v>
      </c>
      <c r="H15" s="183">
        <f>'1.1รวมยาทั้งหมด(1+2+3+4)'!H15+'2.รวมวชย ทุกประเภท'!H15</f>
        <v>0</v>
      </c>
      <c r="I15" s="183">
        <f>'1.1รวมยาทั้งหมด(1+2+3+4)'!I15+'2.รวมวชย ทุกประเภท'!I15</f>
        <v>0</v>
      </c>
      <c r="J15" s="183">
        <f>'1.1รวมยาทั้งหมด(1+2+3+4)'!J15+'2.รวมวชย ทุกประเภท'!J15</f>
        <v>0</v>
      </c>
      <c r="K15" s="183">
        <f>'1.1รวมยาทั้งหมด(1+2+3+4)'!K15+'2.รวมวชย ทุกประเภท'!K15</f>
        <v>0</v>
      </c>
      <c r="L15" s="183">
        <f>'1.1รวมยาทั้งหมด(1+2+3+4)'!L15+'2.รวมวชย ทุกประเภท'!L15</f>
        <v>0</v>
      </c>
      <c r="M15" s="183">
        <f>'1.1รวมยาทั้งหมด(1+2+3+4)'!M15+'2.รวมวชย ทุกประเภท'!M15</f>
        <v>0</v>
      </c>
      <c r="N15" s="183">
        <f>'1.1รวมยาทั้งหมด(1+2+3+4)'!N15+'2.รวมวชย ทุกประเภท'!N15</f>
        <v>0</v>
      </c>
      <c r="O15" s="221">
        <f t="shared" si="1"/>
        <v>63163.22</v>
      </c>
      <c r="P15" s="313">
        <f t="shared" si="0"/>
        <v>5.0553586779415918E-2</v>
      </c>
    </row>
    <row r="16" spans="1:17" ht="17.25" customHeight="1" x14ac:dyDescent="0.45">
      <c r="A16" s="25">
        <v>12</v>
      </c>
      <c r="B16" s="26" t="s">
        <v>9</v>
      </c>
      <c r="C16" s="183">
        <f>'1.1รวมยาทั้งหมด(1+2+3+4)'!C16+'2.รวมวชย ทุกประเภท'!C16</f>
        <v>11294.54</v>
      </c>
      <c r="D16" s="183">
        <f>'1.1รวมยาทั้งหมด(1+2+3+4)'!D16+'2.รวมวชย ทุกประเภท'!D16</f>
        <v>9350.89</v>
      </c>
      <c r="E16" s="183">
        <f>'1.1รวมยาทั้งหมด(1+2+3+4)'!E16+'2.รวมวชย ทุกประเภท'!E16</f>
        <v>7911</v>
      </c>
      <c r="F16" s="183">
        <f>'1.1รวมยาทั้งหมด(1+2+3+4)'!F16+'2.รวมวชย ทุกประเภท'!F16</f>
        <v>0</v>
      </c>
      <c r="G16" s="183">
        <f>'1.1รวมยาทั้งหมด(1+2+3+4)'!G16+'2.รวมวชย ทุกประเภท'!G16</f>
        <v>0</v>
      </c>
      <c r="H16" s="183">
        <f>'1.1รวมยาทั้งหมด(1+2+3+4)'!H16+'2.รวมวชย ทุกประเภท'!H16</f>
        <v>0</v>
      </c>
      <c r="I16" s="183">
        <f>'1.1รวมยาทั้งหมด(1+2+3+4)'!I16+'2.รวมวชย ทุกประเภท'!I16</f>
        <v>0</v>
      </c>
      <c r="J16" s="183">
        <f>'1.1รวมยาทั้งหมด(1+2+3+4)'!J16+'2.รวมวชย ทุกประเภท'!J16</f>
        <v>0</v>
      </c>
      <c r="K16" s="183">
        <f>'1.1รวมยาทั้งหมด(1+2+3+4)'!K16+'2.รวมวชย ทุกประเภท'!K16</f>
        <v>0</v>
      </c>
      <c r="L16" s="183">
        <f>'1.1รวมยาทั้งหมด(1+2+3+4)'!L16+'2.รวมวชย ทุกประเภท'!L16</f>
        <v>0</v>
      </c>
      <c r="M16" s="183">
        <f>'1.1รวมยาทั้งหมด(1+2+3+4)'!M16+'2.รวมวชย ทุกประเภท'!M16</f>
        <v>0</v>
      </c>
      <c r="N16" s="183">
        <f>'1.1รวมยาทั้งหมด(1+2+3+4)'!N16+'2.รวมวชย ทุกประเภท'!N16</f>
        <v>0</v>
      </c>
      <c r="O16" s="221">
        <f t="shared" si="1"/>
        <v>28556.43</v>
      </c>
      <c r="P16" s="313">
        <f t="shared" si="0"/>
        <v>2.2855547296596279E-2</v>
      </c>
    </row>
    <row r="17" spans="1:16" ht="17.25" customHeight="1" x14ac:dyDescent="0.45">
      <c r="A17" s="25">
        <v>13</v>
      </c>
      <c r="B17" s="26" t="s">
        <v>10</v>
      </c>
      <c r="C17" s="183">
        <f>'1.1รวมยาทั้งหมด(1+2+3+4)'!C17+'2.รวมวชย ทุกประเภท'!C17</f>
        <v>14508.24</v>
      </c>
      <c r="D17" s="183">
        <f>'1.1รวมยาทั้งหมด(1+2+3+4)'!D17+'2.รวมวชย ทุกประเภท'!D17</f>
        <v>14373.650000000001</v>
      </c>
      <c r="E17" s="183">
        <f>'1.1รวมยาทั้งหมด(1+2+3+4)'!E17+'2.รวมวชย ทุกประเภท'!E17</f>
        <v>8327.02</v>
      </c>
      <c r="F17" s="183">
        <f>'1.1รวมยาทั้งหมด(1+2+3+4)'!F17+'2.รวมวชย ทุกประเภท'!F17</f>
        <v>0</v>
      </c>
      <c r="G17" s="183">
        <f>'1.1รวมยาทั้งหมด(1+2+3+4)'!G17+'2.รวมวชย ทุกประเภท'!G17</f>
        <v>0</v>
      </c>
      <c r="H17" s="183">
        <f>'1.1รวมยาทั้งหมด(1+2+3+4)'!H17+'2.รวมวชย ทุกประเภท'!H17</f>
        <v>0</v>
      </c>
      <c r="I17" s="183">
        <f>'1.1รวมยาทั้งหมด(1+2+3+4)'!I17+'2.รวมวชย ทุกประเภท'!I17</f>
        <v>0</v>
      </c>
      <c r="J17" s="183">
        <f>'1.1รวมยาทั้งหมด(1+2+3+4)'!J17+'2.รวมวชย ทุกประเภท'!J17</f>
        <v>0</v>
      </c>
      <c r="K17" s="183">
        <f>'1.1รวมยาทั้งหมด(1+2+3+4)'!K17+'2.รวมวชย ทุกประเภท'!K17</f>
        <v>0</v>
      </c>
      <c r="L17" s="183">
        <f>'1.1รวมยาทั้งหมด(1+2+3+4)'!L17+'2.รวมวชย ทุกประเภท'!L17</f>
        <v>0</v>
      </c>
      <c r="M17" s="183">
        <f>'1.1รวมยาทั้งหมด(1+2+3+4)'!M17+'2.รวมวชย ทุกประเภท'!M17</f>
        <v>0</v>
      </c>
      <c r="N17" s="183">
        <f>'1.1รวมยาทั้งหมด(1+2+3+4)'!N17+'2.รวมวชย ทุกประเภท'!N17</f>
        <v>0</v>
      </c>
      <c r="O17" s="221">
        <f t="shared" si="1"/>
        <v>37208.910000000003</v>
      </c>
      <c r="P17" s="313">
        <f t="shared" si="0"/>
        <v>2.9780683452371125E-2</v>
      </c>
    </row>
    <row r="18" spans="1:16" ht="17.25" customHeight="1" x14ac:dyDescent="0.45">
      <c r="A18" s="25">
        <v>14</v>
      </c>
      <c r="B18" s="26" t="s">
        <v>11</v>
      </c>
      <c r="C18" s="183">
        <f>'1.1รวมยาทั้งหมด(1+2+3+4)'!C18+'2.รวมวชย ทุกประเภท'!C18</f>
        <v>11387.16</v>
      </c>
      <c r="D18" s="183">
        <f>'1.1รวมยาทั้งหมด(1+2+3+4)'!D18+'2.รวมวชย ทุกประเภท'!D18</f>
        <v>6043.19</v>
      </c>
      <c r="E18" s="183">
        <f>'1.1รวมยาทั้งหมด(1+2+3+4)'!E18+'2.รวมวชย ทุกประเภท'!E18</f>
        <v>5904.66</v>
      </c>
      <c r="F18" s="183">
        <f>'1.1รวมยาทั้งหมด(1+2+3+4)'!F18+'2.รวมวชย ทุกประเภท'!F18</f>
        <v>0</v>
      </c>
      <c r="G18" s="183">
        <f>'1.1รวมยาทั้งหมด(1+2+3+4)'!G18+'2.รวมวชย ทุกประเภท'!G18</f>
        <v>0</v>
      </c>
      <c r="H18" s="183">
        <f>'1.1รวมยาทั้งหมด(1+2+3+4)'!H18+'2.รวมวชย ทุกประเภท'!H18</f>
        <v>0</v>
      </c>
      <c r="I18" s="183">
        <f>'1.1รวมยาทั้งหมด(1+2+3+4)'!I18+'2.รวมวชย ทุกประเภท'!I18</f>
        <v>0</v>
      </c>
      <c r="J18" s="183">
        <f>'1.1รวมยาทั้งหมด(1+2+3+4)'!J18+'2.รวมวชย ทุกประเภท'!J18</f>
        <v>0</v>
      </c>
      <c r="K18" s="183">
        <f>'1.1รวมยาทั้งหมด(1+2+3+4)'!K18+'2.รวมวชย ทุกประเภท'!K18</f>
        <v>0</v>
      </c>
      <c r="L18" s="183">
        <f>'1.1รวมยาทั้งหมด(1+2+3+4)'!L18+'2.รวมวชย ทุกประเภท'!L18</f>
        <v>0</v>
      </c>
      <c r="M18" s="183">
        <f>'1.1รวมยาทั้งหมด(1+2+3+4)'!M18+'2.รวมวชย ทุกประเภท'!M18</f>
        <v>0</v>
      </c>
      <c r="N18" s="183">
        <f>'1.1รวมยาทั้งหมด(1+2+3+4)'!N18+'2.รวมวชย ทุกประเภท'!N18</f>
        <v>0</v>
      </c>
      <c r="O18" s="221">
        <f t="shared" si="1"/>
        <v>23335.01</v>
      </c>
      <c r="P18" s="313">
        <f t="shared" si="0"/>
        <v>1.8676509098705513E-2</v>
      </c>
    </row>
    <row r="19" spans="1:16" ht="17.25" customHeight="1" x14ac:dyDescent="0.45">
      <c r="A19" s="25">
        <v>15</v>
      </c>
      <c r="B19" s="26" t="s">
        <v>12</v>
      </c>
      <c r="C19" s="183">
        <f>'1.1รวมยาทั้งหมด(1+2+3+4)'!C19+'2.รวมวชย ทุกประเภท'!C19</f>
        <v>53743.519999999997</v>
      </c>
      <c r="D19" s="183">
        <f>'1.1รวมยาทั้งหมด(1+2+3+4)'!D19+'2.รวมวชย ทุกประเภท'!D19</f>
        <v>25808.71</v>
      </c>
      <c r="E19" s="183">
        <f>'1.1รวมยาทั้งหมด(1+2+3+4)'!E19+'2.รวมวชย ทุกประเภท'!E19</f>
        <v>14813.64</v>
      </c>
      <c r="F19" s="183">
        <f>'1.1รวมยาทั้งหมด(1+2+3+4)'!F19+'2.รวมวชย ทุกประเภท'!F19</f>
        <v>0</v>
      </c>
      <c r="G19" s="183">
        <f>'1.1รวมยาทั้งหมด(1+2+3+4)'!G19+'2.รวมวชย ทุกประเภท'!G19</f>
        <v>0</v>
      </c>
      <c r="H19" s="183">
        <f>'1.1รวมยาทั้งหมด(1+2+3+4)'!H19+'2.รวมวชย ทุกประเภท'!H19</f>
        <v>0</v>
      </c>
      <c r="I19" s="183">
        <f>'1.1รวมยาทั้งหมด(1+2+3+4)'!I19+'2.รวมวชย ทุกประเภท'!I19</f>
        <v>0</v>
      </c>
      <c r="J19" s="183">
        <f>'1.1รวมยาทั้งหมด(1+2+3+4)'!J19+'2.รวมวชย ทุกประเภท'!J19</f>
        <v>0</v>
      </c>
      <c r="K19" s="183">
        <f>'1.1รวมยาทั้งหมด(1+2+3+4)'!K19+'2.รวมวชย ทุกประเภท'!K19</f>
        <v>0</v>
      </c>
      <c r="L19" s="183">
        <f>'1.1รวมยาทั้งหมด(1+2+3+4)'!L19+'2.รวมวชย ทุกประเภท'!L19</f>
        <v>0</v>
      </c>
      <c r="M19" s="183">
        <f>'1.1รวมยาทั้งหมด(1+2+3+4)'!M19+'2.รวมวชย ทุกประเภท'!M19</f>
        <v>0</v>
      </c>
      <c r="N19" s="183">
        <f>'1.1รวมยาทั้งหมด(1+2+3+4)'!N19+'2.รวมวชย ทุกประเภท'!N19</f>
        <v>0</v>
      </c>
      <c r="O19" s="221">
        <f t="shared" si="1"/>
        <v>94365.87</v>
      </c>
      <c r="P19" s="313">
        <f t="shared" si="0"/>
        <v>7.5527074111485779E-2</v>
      </c>
    </row>
    <row r="20" spans="1:16" ht="17.25" customHeight="1" x14ac:dyDescent="0.45">
      <c r="A20" s="25">
        <v>16</v>
      </c>
      <c r="B20" s="128" t="s">
        <v>13</v>
      </c>
      <c r="C20" s="183">
        <f>'1.1รวมยาทั้งหมด(1+2+3+4)'!C20+'2.รวมวชย ทุกประเภท'!C20</f>
        <v>0</v>
      </c>
      <c r="D20" s="183">
        <f>'1.1รวมยาทั้งหมด(1+2+3+4)'!D20+'2.รวมวชย ทุกประเภท'!D20</f>
        <v>31733.489999999998</v>
      </c>
      <c r="E20" s="183">
        <f>'1.1รวมยาทั้งหมด(1+2+3+4)'!E20+'2.รวมวชย ทุกประเภท'!E20</f>
        <v>10720.05</v>
      </c>
      <c r="F20" s="183">
        <f>'1.1รวมยาทั้งหมด(1+2+3+4)'!F20+'2.รวมวชย ทุกประเภท'!F20</f>
        <v>0</v>
      </c>
      <c r="G20" s="183">
        <f>'1.1รวมยาทั้งหมด(1+2+3+4)'!G20+'2.รวมวชย ทุกประเภท'!G20</f>
        <v>0</v>
      </c>
      <c r="H20" s="183">
        <f>'1.1รวมยาทั้งหมด(1+2+3+4)'!H20+'2.รวมวชย ทุกประเภท'!H20</f>
        <v>0</v>
      </c>
      <c r="I20" s="183">
        <f>'1.1รวมยาทั้งหมด(1+2+3+4)'!I20+'2.รวมวชย ทุกประเภท'!I20</f>
        <v>0</v>
      </c>
      <c r="J20" s="183">
        <f>'1.1รวมยาทั้งหมด(1+2+3+4)'!J20+'2.รวมวชย ทุกประเภท'!J20</f>
        <v>0</v>
      </c>
      <c r="K20" s="183">
        <f>'1.1รวมยาทั้งหมด(1+2+3+4)'!K20+'2.รวมวชย ทุกประเภท'!K20</f>
        <v>0</v>
      </c>
      <c r="L20" s="183">
        <f>'1.1รวมยาทั้งหมด(1+2+3+4)'!L20+'2.รวมวชย ทุกประเภท'!L20</f>
        <v>0</v>
      </c>
      <c r="M20" s="183">
        <f>'1.1รวมยาทั้งหมด(1+2+3+4)'!M20+'2.รวมวชย ทุกประเภท'!M20</f>
        <v>0</v>
      </c>
      <c r="N20" s="183">
        <f>'1.1รวมยาทั้งหมด(1+2+3+4)'!N20+'2.รวมวชย ทุกประเภท'!N20</f>
        <v>0</v>
      </c>
      <c r="O20" s="221">
        <f t="shared" si="1"/>
        <v>42453.539999999994</v>
      </c>
      <c r="P20" s="313">
        <f t="shared" si="0"/>
        <v>3.3978298105818615E-2</v>
      </c>
    </row>
    <row r="21" spans="1:16" ht="17.25" customHeight="1" x14ac:dyDescent="0.45">
      <c r="A21" s="25">
        <v>17</v>
      </c>
      <c r="B21" s="26" t="s">
        <v>14</v>
      </c>
      <c r="C21" s="183">
        <f>'1.1รวมยาทั้งหมด(1+2+3+4)'!C21+'2.รวมวชย ทุกประเภท'!C21</f>
        <v>24049.58</v>
      </c>
      <c r="D21" s="183">
        <f>'1.1รวมยาทั้งหมด(1+2+3+4)'!D21+'2.รวมวชย ทุกประเภท'!D21</f>
        <v>18763.379999999997</v>
      </c>
      <c r="E21" s="183">
        <f>'1.1รวมยาทั้งหมด(1+2+3+4)'!E21+'2.รวมวชย ทุกประเภท'!E21</f>
        <v>14589.5</v>
      </c>
      <c r="F21" s="183">
        <f>'1.1รวมยาทั้งหมด(1+2+3+4)'!F21+'2.รวมวชย ทุกประเภท'!F21</f>
        <v>0</v>
      </c>
      <c r="G21" s="183">
        <f>'1.1รวมยาทั้งหมด(1+2+3+4)'!G21+'2.รวมวชย ทุกประเภท'!G21</f>
        <v>0</v>
      </c>
      <c r="H21" s="183">
        <f>'1.1รวมยาทั้งหมด(1+2+3+4)'!H21+'2.รวมวชย ทุกประเภท'!H21</f>
        <v>0</v>
      </c>
      <c r="I21" s="183">
        <f>'1.1รวมยาทั้งหมด(1+2+3+4)'!I21+'2.รวมวชย ทุกประเภท'!I21</f>
        <v>0</v>
      </c>
      <c r="J21" s="183">
        <f>'1.1รวมยาทั้งหมด(1+2+3+4)'!J21+'2.รวมวชย ทุกประเภท'!J21</f>
        <v>0</v>
      </c>
      <c r="K21" s="183">
        <f>'1.1รวมยาทั้งหมด(1+2+3+4)'!K21+'2.รวมวชย ทุกประเภท'!K21</f>
        <v>0</v>
      </c>
      <c r="L21" s="183">
        <f>'1.1รวมยาทั้งหมด(1+2+3+4)'!L21+'2.รวมวชย ทุกประเภท'!L21</f>
        <v>0</v>
      </c>
      <c r="M21" s="183">
        <f>'1.1รวมยาทั้งหมด(1+2+3+4)'!M21+'2.รวมวชย ทุกประเภท'!M21</f>
        <v>0</v>
      </c>
      <c r="N21" s="183">
        <f>'1.1รวมยาทั้งหมด(1+2+3+4)'!N21+'2.รวมวชย ทุกประเภท'!N21</f>
        <v>0</v>
      </c>
      <c r="O21" s="221">
        <f t="shared" si="1"/>
        <v>57402.46</v>
      </c>
      <c r="P21" s="313">
        <f t="shared" si="0"/>
        <v>4.5942880096390762E-2</v>
      </c>
    </row>
    <row r="22" spans="1:16" ht="17.25" customHeight="1" x14ac:dyDescent="0.45">
      <c r="A22" s="25">
        <v>18</v>
      </c>
      <c r="B22" s="26" t="s">
        <v>15</v>
      </c>
      <c r="C22" s="183">
        <f>'1.1รวมยาทั้งหมด(1+2+3+4)'!C22+'2.รวมวชย ทุกประเภท'!C22</f>
        <v>7582.1</v>
      </c>
      <c r="D22" s="183">
        <f>'1.1รวมยาทั้งหมด(1+2+3+4)'!D22+'2.รวมวชย ทุกประเภท'!D22</f>
        <v>26616.32</v>
      </c>
      <c r="E22" s="183">
        <f>'1.1รวมยาทั้งหมด(1+2+3+4)'!E22+'2.รวมวชย ทุกประเภท'!E22</f>
        <v>0</v>
      </c>
      <c r="F22" s="183">
        <f>'1.1รวมยาทั้งหมด(1+2+3+4)'!F22+'2.รวมวชย ทุกประเภท'!F22</f>
        <v>0</v>
      </c>
      <c r="G22" s="183">
        <f>'1.1รวมยาทั้งหมด(1+2+3+4)'!G22+'2.รวมวชย ทุกประเภท'!G22</f>
        <v>0</v>
      </c>
      <c r="H22" s="183">
        <f>'1.1รวมยาทั้งหมด(1+2+3+4)'!H22+'2.รวมวชย ทุกประเภท'!H22</f>
        <v>0</v>
      </c>
      <c r="I22" s="183">
        <f>'1.1รวมยาทั้งหมด(1+2+3+4)'!I22+'2.รวมวชย ทุกประเภท'!I22</f>
        <v>0</v>
      </c>
      <c r="J22" s="183">
        <f>'1.1รวมยาทั้งหมด(1+2+3+4)'!J22+'2.รวมวชย ทุกประเภท'!J22</f>
        <v>0</v>
      </c>
      <c r="K22" s="183">
        <f>'1.1รวมยาทั้งหมด(1+2+3+4)'!K22+'2.รวมวชย ทุกประเภท'!K22</f>
        <v>0</v>
      </c>
      <c r="L22" s="183">
        <f>'1.1รวมยาทั้งหมด(1+2+3+4)'!L22+'2.รวมวชย ทุกประเภท'!L22</f>
        <v>0</v>
      </c>
      <c r="M22" s="183">
        <f>'1.1รวมยาทั้งหมด(1+2+3+4)'!M22+'2.รวมวชย ทุกประเภท'!M22</f>
        <v>0</v>
      </c>
      <c r="N22" s="183">
        <f>'1.1รวมยาทั้งหมด(1+2+3+4)'!N22+'2.รวมวชย ทุกประเภท'!N22</f>
        <v>0</v>
      </c>
      <c r="O22" s="221">
        <f t="shared" si="1"/>
        <v>34198.42</v>
      </c>
      <c r="P22" s="313">
        <f t="shared" si="0"/>
        <v>2.7371194710923741E-2</v>
      </c>
    </row>
    <row r="23" spans="1:16" s="170" customFormat="1" ht="17.25" customHeight="1" x14ac:dyDescent="0.45">
      <c r="A23" s="45">
        <v>5.4166666666666669E-2</v>
      </c>
      <c r="B23" s="153" t="s">
        <v>22</v>
      </c>
      <c r="C23" s="188">
        <f>SUM(C5:C22)</f>
        <v>355043.06</v>
      </c>
      <c r="D23" s="188">
        <f t="shared" ref="D23:O23" si="2">SUM(D5:D22)</f>
        <v>483447.83</v>
      </c>
      <c r="E23" s="188">
        <f t="shared" si="2"/>
        <v>410940.14</v>
      </c>
      <c r="F23" s="188">
        <f t="shared" si="2"/>
        <v>0</v>
      </c>
      <c r="G23" s="188">
        <f t="shared" si="2"/>
        <v>0</v>
      </c>
      <c r="H23" s="188">
        <f t="shared" si="2"/>
        <v>0</v>
      </c>
      <c r="I23" s="188">
        <f t="shared" si="2"/>
        <v>0</v>
      </c>
      <c r="J23" s="188">
        <f t="shared" si="2"/>
        <v>0</v>
      </c>
      <c r="K23" s="188">
        <f t="shared" si="2"/>
        <v>0</v>
      </c>
      <c r="L23" s="188">
        <f t="shared" si="2"/>
        <v>0</v>
      </c>
      <c r="M23" s="188">
        <f t="shared" si="2"/>
        <v>0</v>
      </c>
      <c r="N23" s="188">
        <f t="shared" si="2"/>
        <v>0</v>
      </c>
      <c r="O23" s="188">
        <f t="shared" si="2"/>
        <v>1249431.0299999998</v>
      </c>
      <c r="P23" s="314">
        <f t="shared" si="0"/>
        <v>1</v>
      </c>
    </row>
    <row r="24" spans="1:16" ht="17.25" customHeight="1" x14ac:dyDescent="0.45">
      <c r="A24" s="30">
        <v>19</v>
      </c>
      <c r="B24" s="31" t="s">
        <v>16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221">
        <f t="shared" ref="O24:O26" si="3">SUM(C24:N24)</f>
        <v>0</v>
      </c>
      <c r="P24" s="313">
        <f t="shared" si="0"/>
        <v>0</v>
      </c>
    </row>
    <row r="25" spans="1:16" ht="17.25" customHeight="1" x14ac:dyDescent="0.45">
      <c r="A25" s="30">
        <v>20</v>
      </c>
      <c r="B25" s="26" t="s">
        <v>17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221">
        <f t="shared" si="3"/>
        <v>0</v>
      </c>
      <c r="P25" s="313">
        <f t="shared" si="0"/>
        <v>0</v>
      </c>
    </row>
    <row r="26" spans="1:16" s="170" customFormat="1" ht="17.25" customHeight="1" x14ac:dyDescent="0.45">
      <c r="A26" s="49" t="s">
        <v>54</v>
      </c>
      <c r="B26" s="151" t="s">
        <v>23</v>
      </c>
      <c r="C26" s="191">
        <f>SUM(C24:C25)</f>
        <v>0</v>
      </c>
      <c r="D26" s="191">
        <f t="shared" ref="D26:N26" si="4">SUM(D24:D25)</f>
        <v>0</v>
      </c>
      <c r="E26" s="191">
        <f t="shared" si="4"/>
        <v>0</v>
      </c>
      <c r="F26" s="191">
        <f t="shared" si="4"/>
        <v>0</v>
      </c>
      <c r="G26" s="191">
        <f t="shared" si="4"/>
        <v>0</v>
      </c>
      <c r="H26" s="191">
        <f t="shared" si="4"/>
        <v>0</v>
      </c>
      <c r="I26" s="191">
        <f t="shared" si="4"/>
        <v>0</v>
      </c>
      <c r="J26" s="191">
        <f t="shared" si="4"/>
        <v>0</v>
      </c>
      <c r="K26" s="191">
        <f t="shared" si="4"/>
        <v>0</v>
      </c>
      <c r="L26" s="191">
        <f t="shared" si="4"/>
        <v>0</v>
      </c>
      <c r="M26" s="191">
        <f t="shared" si="4"/>
        <v>0</v>
      </c>
      <c r="N26" s="191">
        <f t="shared" si="4"/>
        <v>0</v>
      </c>
      <c r="O26" s="304">
        <f t="shared" si="3"/>
        <v>0</v>
      </c>
      <c r="P26" s="318">
        <f t="shared" si="0"/>
        <v>0</v>
      </c>
    </row>
    <row r="27" spans="1:16" s="206" customFormat="1" ht="17.25" customHeight="1" x14ac:dyDescent="0.45">
      <c r="A27" s="202" t="s">
        <v>66</v>
      </c>
      <c r="B27" s="207" t="s">
        <v>25</v>
      </c>
      <c r="C27" s="205">
        <f>C23+C26</f>
        <v>355043.06</v>
      </c>
      <c r="D27" s="205">
        <f t="shared" ref="D27:N27" si="5">D23+D26</f>
        <v>483447.83</v>
      </c>
      <c r="E27" s="205">
        <f t="shared" si="5"/>
        <v>410940.14</v>
      </c>
      <c r="F27" s="205">
        <f t="shared" si="5"/>
        <v>0</v>
      </c>
      <c r="G27" s="205">
        <f t="shared" si="5"/>
        <v>0</v>
      </c>
      <c r="H27" s="205">
        <f t="shared" si="5"/>
        <v>0</v>
      </c>
      <c r="I27" s="205">
        <f t="shared" si="5"/>
        <v>0</v>
      </c>
      <c r="J27" s="205">
        <f t="shared" si="5"/>
        <v>0</v>
      </c>
      <c r="K27" s="205">
        <f t="shared" si="5"/>
        <v>0</v>
      </c>
      <c r="L27" s="205">
        <f t="shared" si="5"/>
        <v>0</v>
      </c>
      <c r="M27" s="205">
        <f t="shared" si="5"/>
        <v>0</v>
      </c>
      <c r="N27" s="205">
        <f t="shared" si="5"/>
        <v>0</v>
      </c>
      <c r="O27" s="205">
        <f>SUM(C27:N27)</f>
        <v>1249431.03</v>
      </c>
      <c r="P27" s="319">
        <f t="shared" si="0"/>
        <v>1.0000000000000002</v>
      </c>
    </row>
    <row r="28" spans="1:16" ht="10.5" customHeight="1" x14ac:dyDescent="0.45"/>
    <row r="29" spans="1:16" ht="10.5" customHeight="1" x14ac:dyDescent="0.45"/>
    <row r="30" spans="1:16" ht="17.25" customHeight="1" x14ac:dyDescent="0.45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45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45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45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16</vt:i4>
      </vt:variant>
    </vt:vector>
  </HeadingPairs>
  <TitlesOfParts>
    <vt:vector size="16" baseType="lpstr">
      <vt:lpstr>สรุปยอด</vt:lpstr>
      <vt:lpstr>1.ยาทั่วไป</vt:lpstr>
      <vt:lpstr>2.ยาแพทย์ PCC</vt:lpstr>
      <vt:lpstr>3.ยาเรื้อรัง 20%</vt:lpstr>
      <vt:lpstr>4.ยาเรื้อรังฟรี</vt:lpstr>
      <vt:lpstr>5.vaccine</vt:lpstr>
      <vt:lpstr>1.1รวมยาทั้งหมด(1+2+3+4)</vt:lpstr>
      <vt:lpstr>1.2 ยาทั้งหมดรวมvaccin</vt:lpstr>
      <vt:lpstr>1.3 ยา+ไม่รวมvaccin+วชยทั้งหมด</vt:lpstr>
      <vt:lpstr>2.รวมวชย ทุกประเภท</vt:lpstr>
      <vt:lpstr>2.1วสด.การแพทย์</vt:lpstr>
      <vt:lpstr>2.2วสด.สนง</vt:lpstr>
      <vt:lpstr>2.3วสด.งานบ้าน</vt:lpstr>
      <vt:lpstr>2.4วสด. LAB</vt:lpstr>
      <vt:lpstr>2.5วสด. dent</vt:lpstr>
      <vt:lpstr>2.6วสด.เภสัช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Plagaowjr</dc:creator>
  <cp:lastModifiedBy>User</cp:lastModifiedBy>
  <cp:lastPrinted>2020-08-31T04:26:12Z</cp:lastPrinted>
  <dcterms:created xsi:type="dcterms:W3CDTF">2017-10-13T14:25:05Z</dcterms:created>
  <dcterms:modified xsi:type="dcterms:W3CDTF">2020-12-28T08:17:48Z</dcterms:modified>
</cp:coreProperties>
</file>