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7185" tabRatio="970" activeTab="3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J27" i="4" l="1"/>
  <c r="J27" i="2"/>
  <c r="J23" i="6"/>
  <c r="J18" i="6"/>
  <c r="J24" i="7"/>
  <c r="J23" i="9"/>
  <c r="J23" i="11"/>
  <c r="J24" i="11"/>
  <c r="J23" i="8"/>
  <c r="J23" i="7"/>
  <c r="J22" i="11"/>
  <c r="J22" i="7"/>
  <c r="J21" i="7"/>
  <c r="J20" i="7"/>
  <c r="J20" i="11"/>
  <c r="J19" i="7"/>
  <c r="J18" i="11"/>
  <c r="J18" i="7"/>
  <c r="J17" i="11"/>
  <c r="J17" i="7"/>
  <c r="J15" i="9"/>
  <c r="J16" i="7"/>
  <c r="J15" i="7"/>
  <c r="J14" i="7"/>
  <c r="J12" i="11"/>
  <c r="J12" i="7"/>
  <c r="J11" i="7"/>
  <c r="J10" i="7"/>
  <c r="J9" i="7"/>
  <c r="J8" i="7"/>
  <c r="J8" i="11"/>
  <c r="J7" i="7"/>
  <c r="J6" i="7"/>
  <c r="J5" i="12"/>
  <c r="J5" i="11"/>
  <c r="J5" i="7"/>
  <c r="J24" i="4"/>
  <c r="J23" i="4"/>
  <c r="J22" i="4"/>
  <c r="J21" i="4"/>
  <c r="J20" i="4"/>
  <c r="J18" i="4"/>
  <c r="J17" i="4"/>
  <c r="J16" i="4"/>
  <c r="J14" i="4"/>
  <c r="J13" i="4"/>
  <c r="J12" i="4"/>
  <c r="J11" i="4"/>
  <c r="J9" i="4"/>
  <c r="J8" i="4"/>
  <c r="J6" i="4"/>
  <c r="J5" i="4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  <c r="J7" i="2"/>
  <c r="I23" i="6" l="1"/>
  <c r="I9" i="6"/>
  <c r="I8" i="6"/>
  <c r="I7" i="6"/>
  <c r="I6" i="7"/>
  <c r="I23" i="7" s="1"/>
  <c r="I23" i="8"/>
  <c r="I23" i="11"/>
  <c r="I23" i="9"/>
  <c r="I24" i="7"/>
  <c r="I22" i="11"/>
  <c r="I22" i="7"/>
  <c r="I21" i="7"/>
  <c r="I20" i="11"/>
  <c r="I20" i="7"/>
  <c r="I19" i="7"/>
  <c r="I18" i="7"/>
  <c r="I17" i="11"/>
  <c r="I17" i="7"/>
  <c r="I15" i="11"/>
  <c r="I15" i="7"/>
  <c r="I13" i="7"/>
  <c r="I12" i="7"/>
  <c r="I11" i="7"/>
  <c r="I10" i="7"/>
  <c r="I9" i="9"/>
  <c r="I9" i="11"/>
  <c r="I9" i="7"/>
  <c r="I8" i="9"/>
  <c r="I8" i="7"/>
  <c r="I5" i="11"/>
  <c r="I5" i="7"/>
  <c r="I27" i="4"/>
  <c r="I24" i="4"/>
  <c r="I23" i="4"/>
  <c r="I22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I27" i="2"/>
  <c r="I24" i="2"/>
  <c r="I23" i="2"/>
  <c r="I22" i="2"/>
  <c r="I21" i="2"/>
  <c r="I19" i="2"/>
  <c r="I18" i="2"/>
  <c r="I17" i="2"/>
  <c r="I15" i="2"/>
  <c r="I13" i="2"/>
  <c r="I12" i="2"/>
  <c r="I11" i="2"/>
  <c r="I10" i="2"/>
  <c r="I9" i="2"/>
  <c r="I8" i="2"/>
  <c r="I7" i="2"/>
  <c r="I6" i="2"/>
  <c r="I5" i="2"/>
  <c r="H23" i="8" l="1"/>
  <c r="H23" i="11" l="1"/>
  <c r="H23" i="6" l="1"/>
  <c r="H19" i="6"/>
  <c r="H17" i="6"/>
  <c r="H23" i="9"/>
  <c r="H24" i="11"/>
  <c r="H24" i="7"/>
  <c r="H22" i="4"/>
  <c r="H23" i="7"/>
  <c r="H21" i="9"/>
  <c r="H21" i="7"/>
  <c r="H20" i="7"/>
  <c r="H19" i="7"/>
  <c r="H16" i="7"/>
  <c r="H15" i="7"/>
  <c r="H14" i="7"/>
  <c r="H14" i="4"/>
  <c r="H14" i="2"/>
  <c r="H13" i="7"/>
  <c r="H13" i="4"/>
  <c r="H21" i="2"/>
  <c r="H21" i="4"/>
  <c r="H11" i="7"/>
  <c r="H12" i="7"/>
  <c r="H10" i="7"/>
  <c r="H9" i="7"/>
  <c r="H8" i="7"/>
  <c r="H7" i="11"/>
  <c r="H7" i="7"/>
  <c r="H6" i="7"/>
  <c r="H5" i="8"/>
  <c r="H5" i="7"/>
  <c r="H24" i="2"/>
  <c r="H24" i="4"/>
  <c r="H20" i="2"/>
  <c r="H23" i="2" s="1"/>
  <c r="H20" i="4"/>
  <c r="H19" i="4"/>
  <c r="H16" i="2"/>
  <c r="H15" i="4"/>
  <c r="H12" i="4"/>
  <c r="H11" i="4"/>
  <c r="H11" i="2"/>
  <c r="H22" i="2"/>
  <c r="H15" i="2"/>
  <c r="H13" i="2"/>
  <c r="H12" i="2"/>
  <c r="H10" i="2"/>
  <c r="H9" i="2"/>
  <c r="H8" i="2"/>
  <c r="H7" i="2"/>
  <c r="H6" i="2"/>
  <c r="H5" i="2"/>
  <c r="H23" i="4" l="1"/>
  <c r="H27" i="4" s="1"/>
  <c r="G10" i="2"/>
  <c r="H27" i="2" l="1"/>
  <c r="G23" i="9"/>
  <c r="G19" i="9"/>
  <c r="G23" i="6" l="1"/>
  <c r="G18" i="6"/>
  <c r="G23" i="8"/>
  <c r="G23" i="11"/>
  <c r="G21" i="11"/>
  <c r="G23" i="12"/>
  <c r="G21" i="7"/>
  <c r="G23" i="7" s="1"/>
  <c r="G21" i="9"/>
  <c r="G20" i="7"/>
  <c r="G19" i="11"/>
  <c r="G19" i="7"/>
  <c r="G18" i="7"/>
  <c r="G17" i="7"/>
  <c r="G16" i="9"/>
  <c r="G16" i="11"/>
  <c r="G16" i="7"/>
  <c r="G15" i="7"/>
  <c r="G14" i="7"/>
  <c r="G13" i="7"/>
  <c r="G12" i="11"/>
  <c r="G12" i="9"/>
  <c r="G12" i="7"/>
  <c r="G11" i="11"/>
  <c r="G11" i="7"/>
  <c r="G10" i="7"/>
  <c r="G9" i="7"/>
  <c r="G7" i="7"/>
  <c r="G6" i="8"/>
  <c r="G6" i="7"/>
  <c r="G5" i="9"/>
  <c r="G5" i="7"/>
  <c r="G27" i="4"/>
  <c r="G24" i="4"/>
  <c r="G23" i="4"/>
  <c r="G27" i="2"/>
  <c r="G24" i="2"/>
  <c r="G23" i="2"/>
  <c r="G22" i="2"/>
  <c r="G21" i="2"/>
  <c r="G20" i="2"/>
  <c r="G19" i="2"/>
  <c r="G18" i="2"/>
  <c r="G17" i="2"/>
  <c r="G16" i="2"/>
  <c r="G15" i="2"/>
  <c r="G13" i="2"/>
  <c r="G12" i="2"/>
  <c r="G11" i="2"/>
  <c r="G8" i="2"/>
  <c r="G7" i="2"/>
  <c r="G6" i="2"/>
  <c r="G5" i="2"/>
  <c r="F23" i="7" l="1"/>
  <c r="F23" i="6" l="1"/>
  <c r="F23" i="10"/>
  <c r="F23" i="9"/>
  <c r="F23" i="11"/>
  <c r="F23" i="8"/>
  <c r="F21" i="7"/>
  <c r="F24" i="11"/>
  <c r="F24" i="7"/>
  <c r="F22" i="7"/>
  <c r="F20" i="7"/>
  <c r="F19" i="11"/>
  <c r="F19" i="7"/>
  <c r="F18" i="7"/>
  <c r="F17" i="7"/>
  <c r="F16" i="7"/>
  <c r="F15" i="7"/>
  <c r="F15" i="11"/>
  <c r="F14" i="7"/>
  <c r="F13" i="7"/>
  <c r="F12" i="7"/>
  <c r="F11" i="11"/>
  <c r="F11" i="7"/>
  <c r="F10" i="7"/>
  <c r="F9" i="7"/>
  <c r="F9" i="11"/>
  <c r="F8" i="7"/>
  <c r="F7" i="7"/>
  <c r="F6" i="11"/>
  <c r="F6" i="7"/>
  <c r="F5" i="11"/>
  <c r="F5" i="7"/>
  <c r="F5" i="2"/>
  <c r="F27" i="4"/>
  <c r="F24" i="4"/>
  <c r="F23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4" i="2"/>
  <c r="F23" i="2"/>
  <c r="F27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E23" i="9" l="1"/>
  <c r="E23" i="11"/>
  <c r="E23" i="8"/>
  <c r="E23" i="7"/>
  <c r="E23" i="6"/>
  <c r="E27" i="4"/>
  <c r="E23" i="4"/>
  <c r="E27" i="2"/>
  <c r="E23" i="2"/>
  <c r="E8" i="7" l="1"/>
  <c r="E6" i="6"/>
  <c r="E5" i="6"/>
  <c r="E24" i="11"/>
  <c r="E24" i="7"/>
  <c r="E21" i="7"/>
  <c r="E18" i="7"/>
  <c r="E18" i="11"/>
  <c r="E15" i="7"/>
  <c r="E14" i="7"/>
  <c r="E12" i="7"/>
  <c r="E12" i="2"/>
  <c r="E11" i="2"/>
  <c r="E11" i="7"/>
  <c r="E11" i="9"/>
  <c r="E11" i="11"/>
  <c r="E10" i="7"/>
  <c r="E9" i="7"/>
  <c r="E8" i="11"/>
  <c r="E7" i="7"/>
  <c r="E6" i="7"/>
  <c r="E5" i="11"/>
  <c r="E5" i="8"/>
  <c r="E5" i="7"/>
  <c r="E24" i="4" l="1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7" i="4"/>
  <c r="E6" i="4"/>
  <c r="E5" i="4"/>
  <c r="E24" i="2"/>
  <c r="E22" i="2"/>
  <c r="E21" i="2"/>
  <c r="E20" i="2"/>
  <c r="E16" i="2"/>
  <c r="E13" i="2"/>
  <c r="E10" i="2"/>
  <c r="E9" i="2"/>
  <c r="E8" i="2"/>
  <c r="E7" i="2"/>
  <c r="E6" i="2"/>
  <c r="E5" i="2"/>
  <c r="D27" i="4" l="1"/>
  <c r="D23" i="4"/>
  <c r="D27" i="2"/>
  <c r="D23" i="2"/>
  <c r="D23" i="9"/>
  <c r="D23" i="11"/>
  <c r="D23" i="8"/>
  <c r="D23" i="7"/>
  <c r="D8" i="7"/>
  <c r="D23" i="6"/>
  <c r="D19" i="6" l="1"/>
  <c r="D15" i="6"/>
  <c r="D14" i="6"/>
  <c r="D13" i="6"/>
  <c r="D8" i="6"/>
  <c r="D6" i="6"/>
  <c r="D22" i="7"/>
  <c r="D21" i="7"/>
  <c r="D20" i="7"/>
  <c r="D19" i="7"/>
  <c r="D19" i="12"/>
  <c r="D18" i="7"/>
  <c r="D17" i="11"/>
  <c r="D16" i="7"/>
  <c r="D16" i="11"/>
  <c r="D15" i="7"/>
  <c r="D12" i="11"/>
  <c r="D12" i="7"/>
  <c r="D9" i="7"/>
  <c r="D6" i="7"/>
  <c r="D5" i="7"/>
  <c r="D24" i="2"/>
  <c r="D24" i="4"/>
  <c r="D22" i="4"/>
  <c r="D20" i="4"/>
  <c r="D19" i="4"/>
  <c r="D16" i="4"/>
  <c r="D15" i="4"/>
  <c r="D13" i="4"/>
  <c r="D12" i="4"/>
  <c r="D8" i="4"/>
  <c r="D6" i="4"/>
  <c r="D5" i="4"/>
  <c r="D22" i="2"/>
  <c r="D21" i="2"/>
  <c r="D19" i="2"/>
  <c r="D18" i="2"/>
  <c r="D17" i="2"/>
  <c r="D16" i="2"/>
  <c r="D15" i="2"/>
  <c r="D13" i="2"/>
  <c r="D12" i="2"/>
  <c r="D11" i="2"/>
  <c r="D10" i="2"/>
  <c r="D9" i="2"/>
  <c r="D8" i="2"/>
  <c r="D6" i="2"/>
  <c r="D5" i="2"/>
  <c r="C23" i="10" l="1"/>
  <c r="C23" i="9"/>
  <c r="C23" i="11"/>
  <c r="C23" i="8"/>
  <c r="C23" i="7"/>
  <c r="C23" i="6"/>
  <c r="C27" i="4"/>
  <c r="C23" i="4"/>
  <c r="C27" i="2"/>
  <c r="C23" i="2"/>
  <c r="C22" i="9" l="1"/>
  <c r="C22" i="6"/>
  <c r="C24" i="7" l="1"/>
  <c r="C21" i="7"/>
  <c r="C18" i="7"/>
  <c r="C17" i="11"/>
  <c r="C17" i="7"/>
  <c r="C16" i="11"/>
  <c r="C16" i="7"/>
  <c r="C15" i="11"/>
  <c r="C15" i="7"/>
  <c r="C14" i="7"/>
  <c r="C13" i="7"/>
  <c r="C11" i="11"/>
  <c r="C11" i="7"/>
  <c r="C9" i="9"/>
  <c r="C9" i="11"/>
  <c r="C9" i="7"/>
  <c r="C8" i="7"/>
  <c r="C7" i="11"/>
  <c r="C6" i="7"/>
  <c r="C7" i="7"/>
  <c r="C5" i="7"/>
  <c r="C24" i="4"/>
  <c r="C21" i="4"/>
  <c r="C19" i="4"/>
  <c r="C16" i="4"/>
  <c r="C15" i="4"/>
  <c r="C11" i="4"/>
  <c r="C10" i="4"/>
  <c r="C9" i="2"/>
  <c r="C9" i="4"/>
  <c r="C7" i="4"/>
  <c r="C6" i="4"/>
  <c r="C5" i="4"/>
  <c r="C24" i="2"/>
  <c r="C21" i="2"/>
  <c r="C17" i="2"/>
  <c r="C15" i="2"/>
  <c r="C11" i="2"/>
  <c r="C10" i="2"/>
  <c r="C8" i="2"/>
  <c r="C7" i="2"/>
  <c r="C6" i="2"/>
  <c r="C5" i="2"/>
  <c r="M26" i="9" l="1"/>
  <c r="M27" i="9" s="1"/>
  <c r="C26" i="11"/>
  <c r="D26" i="8"/>
  <c r="D27" i="8" s="1"/>
  <c r="E26" i="8"/>
  <c r="E27" i="8" s="1"/>
  <c r="F26" i="8"/>
  <c r="F27" i="8" s="1"/>
  <c r="G26" i="8"/>
  <c r="G27" i="8" s="1"/>
  <c r="H26" i="8"/>
  <c r="H27" i="8" s="1"/>
  <c r="I26" i="8"/>
  <c r="I27" i="8" s="1"/>
  <c r="J26" i="8"/>
  <c r="J27" i="8" s="1"/>
  <c r="K26" i="8"/>
  <c r="K27" i="8" s="1"/>
  <c r="L26" i="8"/>
  <c r="L27" i="8" s="1"/>
  <c r="M26" i="8"/>
  <c r="M27" i="8" s="1"/>
  <c r="N26" i="8"/>
  <c r="C26" i="8"/>
  <c r="C27" i="8" s="1"/>
  <c r="N26" i="7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/>
  <c r="J27" i="7" s="1"/>
  <c r="K26" i="7"/>
  <c r="K27" i="7" s="1"/>
  <c r="L26" i="7"/>
  <c r="L27" i="7" s="1"/>
  <c r="M26" i="7"/>
  <c r="M27" i="7" s="1"/>
  <c r="C26" i="7"/>
  <c r="D26" i="16"/>
  <c r="E26" i="16"/>
  <c r="F26" i="16"/>
  <c r="G26" i="16"/>
  <c r="H26" i="16"/>
  <c r="I26" i="16"/>
  <c r="J26" i="16"/>
  <c r="K26" i="16"/>
  <c r="L26" i="16"/>
  <c r="M26" i="16"/>
  <c r="N26" i="16"/>
  <c r="C26" i="16"/>
  <c r="D26" i="6"/>
  <c r="D27" i="6" s="1"/>
  <c r="E26" i="6"/>
  <c r="E27" i="6" s="1"/>
  <c r="F26" i="6"/>
  <c r="F27" i="6" s="1"/>
  <c r="G26" i="6"/>
  <c r="G27" i="6" s="1"/>
  <c r="H26" i="6"/>
  <c r="H27" i="6" s="1"/>
  <c r="I26" i="6"/>
  <c r="I27" i="6" s="1"/>
  <c r="J26" i="6"/>
  <c r="J27" i="6" s="1"/>
  <c r="K26" i="6"/>
  <c r="K27" i="6" s="1"/>
  <c r="L26" i="6"/>
  <c r="L27" i="6" s="1"/>
  <c r="M26" i="6"/>
  <c r="M27" i="6" s="1"/>
  <c r="N26" i="6"/>
  <c r="C26" i="6"/>
  <c r="C27" i="6" s="1"/>
  <c r="D26" i="12"/>
  <c r="E26" i="12"/>
  <c r="F26" i="12"/>
  <c r="G26" i="12"/>
  <c r="H26" i="12"/>
  <c r="I26" i="12"/>
  <c r="J26" i="12"/>
  <c r="K26" i="12"/>
  <c r="L26" i="12"/>
  <c r="M26" i="12"/>
  <c r="N26" i="12"/>
  <c r="C26" i="12"/>
  <c r="D23" i="12"/>
  <c r="D27" i="12" s="1"/>
  <c r="E23" i="12"/>
  <c r="E27" i="12" s="1"/>
  <c r="F23" i="12"/>
  <c r="G27" i="12"/>
  <c r="H23" i="12"/>
  <c r="I23" i="12"/>
  <c r="I27" i="12" s="1"/>
  <c r="J23" i="12"/>
  <c r="J27" i="12" s="1"/>
  <c r="K23" i="12"/>
  <c r="K27" i="12" s="1"/>
  <c r="L23" i="12"/>
  <c r="L27" i="12" s="1"/>
  <c r="M23" i="12"/>
  <c r="M27" i="12" s="1"/>
  <c r="N23" i="12"/>
  <c r="N27" i="12" s="1"/>
  <c r="C23" i="12"/>
  <c r="C27" i="12" s="1"/>
  <c r="D26" i="10"/>
  <c r="E26" i="10"/>
  <c r="F26" i="10"/>
  <c r="G26" i="10"/>
  <c r="H26" i="10"/>
  <c r="H27" i="10" s="1"/>
  <c r="I26" i="10"/>
  <c r="I27" i="10" s="1"/>
  <c r="J26" i="10"/>
  <c r="J27" i="10" s="1"/>
  <c r="K26" i="10"/>
  <c r="L26" i="10"/>
  <c r="M26" i="10"/>
  <c r="N26" i="10"/>
  <c r="C26" i="10"/>
  <c r="D27" i="10"/>
  <c r="E27" i="10"/>
  <c r="F27" i="10"/>
  <c r="G27" i="10"/>
  <c r="K27" i="10"/>
  <c r="L27" i="10"/>
  <c r="C27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M27" i="10"/>
  <c r="N27" i="10"/>
  <c r="D26" i="9"/>
  <c r="D27" i="9" s="1"/>
  <c r="E26" i="9"/>
  <c r="E27" i="9" s="1"/>
  <c r="F26" i="9"/>
  <c r="F27" i="9" s="1"/>
  <c r="G26" i="9"/>
  <c r="G27" i="9" s="1"/>
  <c r="H26" i="9"/>
  <c r="H27" i="9" s="1"/>
  <c r="I26" i="9"/>
  <c r="I27" i="9" s="1"/>
  <c r="J26" i="9"/>
  <c r="J27" i="9" s="1"/>
  <c r="K26" i="9"/>
  <c r="K27" i="9" s="1"/>
  <c r="L26" i="9"/>
  <c r="L27" i="9" s="1"/>
  <c r="N26" i="9"/>
  <c r="C26" i="9"/>
  <c r="C27" i="9" s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5" i="9"/>
  <c r="N27" i="9"/>
  <c r="D26" i="11"/>
  <c r="D27" i="11" s="1"/>
  <c r="E26" i="11"/>
  <c r="E27" i="11" s="1"/>
  <c r="F26" i="11"/>
  <c r="F27" i="11" s="1"/>
  <c r="G26" i="11"/>
  <c r="H26" i="11"/>
  <c r="H27" i="11" s="1"/>
  <c r="I26" i="11"/>
  <c r="I27" i="11" s="1"/>
  <c r="J26" i="11"/>
  <c r="J27" i="11" s="1"/>
  <c r="K26" i="11"/>
  <c r="L26" i="11"/>
  <c r="M26" i="11"/>
  <c r="M27" i="11" s="1"/>
  <c r="N26" i="11"/>
  <c r="G27" i="11"/>
  <c r="K27" i="11"/>
  <c r="L27" i="11"/>
  <c r="C27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5" i="11"/>
  <c r="N27" i="8"/>
  <c r="O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5" i="7"/>
  <c r="O23" i="7"/>
  <c r="N27" i="6"/>
  <c r="O5" i="6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H27" i="12" l="1"/>
  <c r="F27" i="12"/>
  <c r="O26" i="7"/>
  <c r="O26" i="10"/>
  <c r="O27" i="8"/>
  <c r="C27" i="7"/>
  <c r="N27" i="11"/>
  <c r="O23" i="11"/>
  <c r="N27" i="7"/>
  <c r="O27" i="7" s="1"/>
  <c r="O27" i="4"/>
  <c r="O23" i="2"/>
  <c r="O26" i="12"/>
  <c r="O27" i="10"/>
  <c r="O23" i="10"/>
  <c r="O27" i="11"/>
  <c r="O5" i="12"/>
  <c r="O23" i="12" s="1"/>
  <c r="O27" i="12" s="1"/>
  <c r="O24" i="10" l="1"/>
  <c r="K1" i="2" l="1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K24" i="13"/>
  <c r="L24" i="13"/>
  <c r="M24" i="13"/>
  <c r="M26" i="13" s="1"/>
  <c r="N24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K23" i="13" s="1"/>
  <c r="L5" i="13"/>
  <c r="L23" i="13" s="1"/>
  <c r="M5" i="13"/>
  <c r="M23" i="13" s="1"/>
  <c r="M27" i="13" s="1"/>
  <c r="N5" i="13"/>
  <c r="J23" i="13" l="1"/>
  <c r="I23" i="13"/>
  <c r="I27" i="13" s="1"/>
  <c r="K24" i="14"/>
  <c r="K26" i="14" s="1"/>
  <c r="K26" i="13"/>
  <c r="K27" i="13"/>
  <c r="L24" i="14"/>
  <c r="L26" i="14" s="1"/>
  <c r="L26" i="13"/>
  <c r="L27" i="13" s="1"/>
  <c r="J24" i="14"/>
  <c r="J26" i="13"/>
  <c r="N24" i="14"/>
  <c r="N26" i="13"/>
  <c r="N23" i="13"/>
  <c r="N27" i="13" s="1"/>
  <c r="N25" i="14"/>
  <c r="M24" i="14"/>
  <c r="M26" i="14" s="1"/>
  <c r="J25" i="14"/>
  <c r="I24" i="14"/>
  <c r="I26" i="14" s="1"/>
  <c r="J27" i="13" l="1"/>
  <c r="J26" i="14"/>
  <c r="N26" i="14"/>
  <c r="P4" i="2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H5" i="13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5" i="13"/>
  <c r="C2" i="12"/>
  <c r="C2" i="10"/>
  <c r="O25" i="9"/>
  <c r="O24" i="9"/>
  <c r="C2" i="9"/>
  <c r="O25" i="11"/>
  <c r="O24" i="11"/>
  <c r="C2" i="11"/>
  <c r="C2" i="8"/>
  <c r="O25" i="7"/>
  <c r="C2" i="7"/>
  <c r="O26" i="16"/>
  <c r="O25" i="16"/>
  <c r="O24" i="16"/>
  <c r="C2" i="16"/>
  <c r="C2" i="14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C2" i="4"/>
  <c r="C2" i="3"/>
  <c r="O24" i="2"/>
  <c r="O25" i="2"/>
  <c r="O23" i="6" l="1"/>
  <c r="O27" i="6" s="1"/>
  <c r="C23" i="13"/>
  <c r="O5" i="13"/>
  <c r="C21" i="14"/>
  <c r="O21" i="13"/>
  <c r="C19" i="14"/>
  <c r="O19" i="13"/>
  <c r="C17" i="14"/>
  <c r="O17" i="13"/>
  <c r="C15" i="14"/>
  <c r="O15" i="13"/>
  <c r="C13" i="14"/>
  <c r="O13" i="13"/>
  <c r="C11" i="14"/>
  <c r="O11" i="13"/>
  <c r="C9" i="14"/>
  <c r="O9" i="13"/>
  <c r="C7" i="14"/>
  <c r="O7" i="13"/>
  <c r="M23" i="14"/>
  <c r="M27" i="14" s="1"/>
  <c r="K23" i="14"/>
  <c r="K27" i="14" s="1"/>
  <c r="I23" i="14"/>
  <c r="I27" i="14" s="1"/>
  <c r="G5" i="14"/>
  <c r="G23" i="14" s="1"/>
  <c r="G23" i="13"/>
  <c r="E23" i="13"/>
  <c r="C24" i="14"/>
  <c r="C26" i="14" s="1"/>
  <c r="C26" i="13"/>
  <c r="H24" i="14"/>
  <c r="H26" i="14" s="1"/>
  <c r="H26" i="13"/>
  <c r="F24" i="14"/>
  <c r="F26" i="14" s="1"/>
  <c r="F26" i="13"/>
  <c r="D24" i="14"/>
  <c r="D26" i="14" s="1"/>
  <c r="D26" i="13"/>
  <c r="C22" i="14"/>
  <c r="O22" i="13"/>
  <c r="C20" i="14"/>
  <c r="O20" i="13"/>
  <c r="C18" i="14"/>
  <c r="O18" i="13"/>
  <c r="C16" i="14"/>
  <c r="O16" i="13"/>
  <c r="C14" i="14"/>
  <c r="O14" i="13"/>
  <c r="C12" i="14"/>
  <c r="O12" i="13"/>
  <c r="C10" i="14"/>
  <c r="O10" i="13"/>
  <c r="C8" i="14"/>
  <c r="O8" i="13"/>
  <c r="C6" i="14"/>
  <c r="O6" i="13"/>
  <c r="L23" i="14"/>
  <c r="L27" i="14" s="1"/>
  <c r="J23" i="14"/>
  <c r="J27" i="14" s="1"/>
  <c r="H5" i="14"/>
  <c r="H23" i="14" s="1"/>
  <c r="H23" i="13"/>
  <c r="F23" i="13"/>
  <c r="D23" i="13"/>
  <c r="D27" i="13" s="1"/>
  <c r="G24" i="14"/>
  <c r="G26" i="14" s="1"/>
  <c r="G26" i="13"/>
  <c r="E24" i="14"/>
  <c r="E26" i="14" s="1"/>
  <c r="E26" i="13"/>
  <c r="N23" i="14"/>
  <c r="N27" i="14" s="1"/>
  <c r="O25" i="14"/>
  <c r="O25" i="13"/>
  <c r="O26" i="2"/>
  <c r="O26" i="8"/>
  <c r="O26" i="11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L23" i="16" s="1"/>
  <c r="L27" i="16" s="1"/>
  <c r="O16" i="17"/>
  <c r="O26" i="4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5" i="16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E15" i="14"/>
  <c r="E15" i="16"/>
  <c r="E14" i="14"/>
  <c r="E14" i="16"/>
  <c r="E13" i="14"/>
  <c r="E13" i="16"/>
  <c r="E12" i="14"/>
  <c r="E12" i="16"/>
  <c r="E11" i="14"/>
  <c r="E11" i="16"/>
  <c r="E10" i="14"/>
  <c r="E10" i="16"/>
  <c r="E9" i="14"/>
  <c r="E9" i="16"/>
  <c r="E8" i="14"/>
  <c r="E8" i="16"/>
  <c r="E7" i="14"/>
  <c r="E7" i="16"/>
  <c r="E6" i="14"/>
  <c r="E6" i="16"/>
  <c r="E5" i="14"/>
  <c r="E5" i="16"/>
  <c r="O26" i="6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D7" i="16"/>
  <c r="D6" i="14"/>
  <c r="D6" i="16"/>
  <c r="D5" i="14"/>
  <c r="D5" i="16"/>
  <c r="O20" i="17"/>
  <c r="O12" i="17"/>
  <c r="N2" i="7"/>
  <c r="N2" i="11"/>
  <c r="N2" i="10"/>
  <c r="N2" i="8"/>
  <c r="N2" i="9"/>
  <c r="O26" i="5"/>
  <c r="O26" i="9"/>
  <c r="K1" i="10"/>
  <c r="K1" i="12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C5" i="14"/>
  <c r="O24" i="17"/>
  <c r="O25" i="17"/>
  <c r="O6" i="17"/>
  <c r="O5" i="17"/>
  <c r="O26" i="13"/>
  <c r="O24" i="13"/>
  <c r="O27" i="9"/>
  <c r="O23" i="9"/>
  <c r="P23" i="11"/>
  <c r="P26" i="8"/>
  <c r="P23" i="6"/>
  <c r="O27" i="5"/>
  <c r="O23" i="4"/>
  <c r="P5" i="4" s="1"/>
  <c r="P12" i="3"/>
  <c r="P21" i="3"/>
  <c r="P19" i="3"/>
  <c r="P24" i="3"/>
  <c r="P23" i="3"/>
  <c r="H27" i="13" l="1"/>
  <c r="H27" i="14"/>
  <c r="H23" i="16"/>
  <c r="H27" i="16" s="1"/>
  <c r="O26" i="14"/>
  <c r="O17" i="14"/>
  <c r="F27" i="13"/>
  <c r="F23" i="16"/>
  <c r="F27" i="16" s="1"/>
  <c r="F23" i="14"/>
  <c r="F27" i="14" s="1"/>
  <c r="O21" i="14"/>
  <c r="O15" i="14"/>
  <c r="O13" i="14"/>
  <c r="O9" i="14"/>
  <c r="O11" i="14"/>
  <c r="O7" i="14"/>
  <c r="E23" i="14"/>
  <c r="E27" i="14" s="1"/>
  <c r="E23" i="16"/>
  <c r="E27" i="16" s="1"/>
  <c r="D23" i="14"/>
  <c r="D27" i="14" s="1"/>
  <c r="D23" i="16"/>
  <c r="D27" i="16" s="1"/>
  <c r="C23" i="14"/>
  <c r="C27" i="14" s="1"/>
  <c r="O19" i="14"/>
  <c r="O24" i="14"/>
  <c r="O6" i="14"/>
  <c r="O8" i="14"/>
  <c r="O10" i="14"/>
  <c r="O12" i="14"/>
  <c r="O14" i="14"/>
  <c r="O16" i="14"/>
  <c r="O18" i="14"/>
  <c r="O20" i="14"/>
  <c r="O22" i="14"/>
  <c r="G23" i="16"/>
  <c r="G27" i="16" s="1"/>
  <c r="O7" i="16"/>
  <c r="O9" i="16"/>
  <c r="O11" i="16"/>
  <c r="O13" i="16"/>
  <c r="O15" i="16"/>
  <c r="O17" i="16"/>
  <c r="O19" i="16"/>
  <c r="O21" i="16"/>
  <c r="I23" i="16"/>
  <c r="I27" i="16" s="1"/>
  <c r="M23" i="16"/>
  <c r="M27" i="16" s="1"/>
  <c r="J23" i="16"/>
  <c r="J27" i="16" s="1"/>
  <c r="G27" i="13"/>
  <c r="O6" i="16"/>
  <c r="O8" i="16"/>
  <c r="O10" i="16"/>
  <c r="O12" i="16"/>
  <c r="O14" i="16"/>
  <c r="O16" i="16"/>
  <c r="O18" i="16"/>
  <c r="O20" i="16"/>
  <c r="O22" i="16"/>
  <c r="K23" i="16"/>
  <c r="K27" i="16" s="1"/>
  <c r="C23" i="16"/>
  <c r="C27" i="16" s="1"/>
  <c r="O5" i="14"/>
  <c r="E27" i="13"/>
  <c r="G27" i="14"/>
  <c r="C27" i="13"/>
  <c r="N23" i="16"/>
  <c r="N27" i="16" s="1"/>
  <c r="O5" i="16"/>
  <c r="P26" i="4"/>
  <c r="P26" i="12"/>
  <c r="P14" i="3"/>
  <c r="P6" i="3"/>
  <c r="P26" i="5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3" l="1"/>
  <c r="D6" i="1" s="1"/>
  <c r="O23" i="16"/>
  <c r="O23" i="14"/>
  <c r="P26" i="14" s="1"/>
  <c r="O27" i="16"/>
  <c r="O27" i="17"/>
  <c r="D8" i="1" s="1"/>
  <c r="O27" i="14"/>
  <c r="D7" i="1" s="1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3" l="1"/>
  <c r="P27" i="17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P23" i="2"/>
  <c r="P10" i="2" l="1"/>
  <c r="P24" i="2"/>
  <c r="P15" i="2"/>
  <c r="P5" i="2"/>
  <c r="P27" i="2"/>
  <c r="P21" i="2"/>
  <c r="P8" i="2"/>
  <c r="P19" i="2"/>
  <c r="P22" i="2"/>
  <c r="P13" i="2"/>
  <c r="P25" i="2"/>
  <c r="P18" i="2"/>
  <c r="P20" i="2"/>
  <c r="P26" i="2"/>
  <c r="P9" i="2"/>
  <c r="P14" i="2"/>
  <c r="P7" i="2"/>
  <c r="P11" i="2"/>
  <c r="P17" i="2"/>
  <c r="P12" i="2"/>
  <c r="P6" i="2"/>
  <c r="P16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<sst xmlns="http://schemas.openxmlformats.org/spreadsheetml/2006/main" count="734" uniqueCount="86">
  <si>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</si>
  <si>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</si>
  <si>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</si>
  <si>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</si>
  <si>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</si>
  <si>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</si>
  <si>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</si>
  <si>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</si>
  <si>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</si>
  <si>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</si>
  <si>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</si>
  <si>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</si>
  <si>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</si>
  <si>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</si>
  <si>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</si>
  <si>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</si>
  <si>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</si>
  <si>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</si>
  <si>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</si>
  <si>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</si>
  <si>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</si>
  <si>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</si>
  <si>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</si>
  <si>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</si>
  <si>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</si>
  <si>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</si>
  <si>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</si>
  <si>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</si>
  <si>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</si>
  <si>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</si>
  <si>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</si>
  <si>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</si>
  <si>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</si>
  <si>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</si>
  <si>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</si>
  <si>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</si>
  <si>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</si>
  <si>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</si>
  <si>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</si>
  <si>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</si>
  <si>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</si>
  <si>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</si>
  <si>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</si>
  <si>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</si>
  <si>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</si>
  <si>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</si>
  <si>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</si>
  <si>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</si>
  <si>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</si>
  <si>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</si>
  <si>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</si>
  <si>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</si>
  <si>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</si>
  <si>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</si>
  <si>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</si>
  <si>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</si>
  <si>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</si>
  <si>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</si>
  <si>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</si>
  <si>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</si>
  <si>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</si>
  <si>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</si>
  <si>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</si>
  <si>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</si>
  <si>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</si>
  <si>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</si>
  <si>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</si>
  <si>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</si>
  <si>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</si>
  <si>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</si>
  <si>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</si>
  <si>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</si>
  <si>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</si>
  <si>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</si>
  <si>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</si>
  <si>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</si>
  <si>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</si>
  <si>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</si>
  <si>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</si>
  <si>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</si>
  <si>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</si>
  <si>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</si>
  <si>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</si>
  <si>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</si>
  <si>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 xml:space="preserve">รายงานเบิก เรื้องรัง 20%  ของหน่วยงานต่างๆในCUPกุมภวาปี </t>
  </si>
  <si>
    <t>รายงานข้อมูลณ วันที่ 27/05/63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</si>
</sst>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_ ;\-#,##0.0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4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24" fillId="0" borderId="1" xfId="0" applyNumberFormat="1" applyFont="1" applyBorder="1" applyAlignment="1">
      <alignment horizontal="right" vertical="center" shrinkToFit="1"/>
    </xf>
    <xf numFmtId="190" fontId="6" fillId="4" borderId="1" xfId="0" applyNumberFormat="1" applyFont="1" applyFill="1" applyBorder="1" applyAlignment="1">
      <alignment horizontal="right" vertical="center" shrinkToFit="1"/>
    </xf>
    <xf numFmtId="190" fontId="22" fillId="5" borderId="1" xfId="0" applyNumberFormat="1" applyFont="1" applyFill="1" applyBorder="1" applyAlignment="1">
      <alignment horizontal="right" vertical="center" shrinkToFit="1"/>
    </xf>
    <xf numFmtId="190" fontId="13" fillId="4" borderId="1" xfId="0" applyNumberFormat="1" applyFont="1" applyFill="1" applyBorder="1" applyAlignment="1">
      <alignment horizontal="right" vertical="center" shrinkToFit="1"/>
    </xf>
    <xf numFmtId="191" fontId="13" fillId="4" borderId="1" xfId="2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5" sqref="D5"/>
    </sheetView>
  </sheetViews>
  <sheetFormatPr defaultRowHeight="36.75" customHeight="1" x14ac:dyDescent="0.2"/>
  <cols>
    <col min="1" max="1" width="3" style="222" customWidth="1"/>
    <col min="2" max="2" width="4.5" style="223" customWidth="1"/>
    <col min="3" max="3" width="55" style="160" customWidth="1"/>
    <col min="4" max="4" width="20.375" style="222" customWidth="1"/>
    <col min="5" max="27" width="3" style="222" customWidth="1"/>
    <col min="28" max="16384" width="9" style="222"/>
  </cols>
  <sheetData>
    <row r="1" spans="2:5" s="226" customFormat="1" ht="27" customHeight="1" x14ac:dyDescent="0.2">
      <c r="B1" s="224"/>
      <c r="C1" s="225" t="s">
        <v>47</v>
      </c>
    </row>
    <row r="2" spans="2:5" s="226" customFormat="1" ht="27" customHeight="1" x14ac:dyDescent="0.2">
      <c r="B2" s="224"/>
      <c r="C2" s="227" t="s">
        <v>76</v>
      </c>
    </row>
    <row r="3" spans="2:5" s="226" customFormat="1" ht="27" customHeight="1" x14ac:dyDescent="0.2">
      <c r="B3" s="224"/>
      <c r="C3" s="228" t="s">
        <v>81</v>
      </c>
      <c r="E3" s="229"/>
    </row>
    <row r="4" spans="2:5" s="226" customFormat="1" ht="22.5" customHeight="1" x14ac:dyDescent="0.2">
      <c r="B4" s="224"/>
      <c r="C4" s="230"/>
      <c r="D4" s="231" t="s">
        <v>85</v>
      </c>
      <c r="E4" s="229"/>
    </row>
    <row r="5" spans="2:5" ht="36.75" customHeight="1" x14ac:dyDescent="0.2">
      <c r="B5" s="232" t="s">
        <v>0</v>
      </c>
      <c r="C5" s="232" t="s">
        <v>46</v>
      </c>
      <c r="D5" s="233">
        <v>242304</v>
      </c>
      <c r="E5" s="223"/>
    </row>
    <row r="6" spans="2:5" ht="30" customHeight="1" x14ac:dyDescent="0.2">
      <c r="B6" s="234">
        <v>1</v>
      </c>
      <c r="C6" s="235" t="s">
        <v>73</v>
      </c>
      <c r="D6" s="236">
        <f>'1.1รวมยาทั้งหมด(1+2+3+4)'!O27</f>
        <v>3591468.19</v>
      </c>
    </row>
    <row r="7" spans="2:5" ht="30" customHeight="1" x14ac:dyDescent="0.2">
      <c r="B7" s="234">
        <v>2</v>
      </c>
      <c r="C7" s="235" t="s">
        <v>74</v>
      </c>
      <c r="D7" s="236">
        <f>'1.2 ยาทั้งหมดรวมvaccin'!O27</f>
        <v>4650427.5729999999</v>
      </c>
    </row>
    <row r="8" spans="2:5" ht="60.75" customHeight="1" x14ac:dyDescent="0.2">
      <c r="B8" s="234">
        <v>3</v>
      </c>
      <c r="C8" s="237" t="s">
        <v>78</v>
      </c>
      <c r="D8" s="236">
        <f>'2.รวมวชย ทุกประเภท'!O27</f>
        <v>0</v>
      </c>
    </row>
    <row r="9" spans="2:5" ht="36.75" customHeight="1" x14ac:dyDescent="0.2">
      <c r="B9" s="232">
        <v>4</v>
      </c>
      <c r="C9" s="240" t="s">
        <v>77</v>
      </c>
      <c r="D9" s="238">
        <f>D7+D8</f>
        <v>4650427.5729999999</v>
      </c>
    </row>
    <row r="10" spans="2:5" ht="12" customHeight="1" x14ac:dyDescent="0.2"/>
    <row r="11" spans="2:5" ht="23.25" customHeight="1" x14ac:dyDescent="0.2">
      <c r="B11" s="239" t="s">
        <v>75</v>
      </c>
      <c r="C11" s="222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L29" sqref="L29:N30"/>
    </sheetView>
  </sheetViews>
  <sheetFormatPr defaultColWidth="12.875" defaultRowHeight="17.25" customHeight="1" x14ac:dyDescent="0.2"/>
  <cols>
    <col min="1" max="1" width="4.75" style="257" customWidth="1"/>
    <col min="2" max="2" width="15.25" style="258" customWidth="1"/>
    <col min="3" max="14" width="8.375" style="125" customWidth="1"/>
    <col min="15" max="15" width="10" style="280" customWidth="1"/>
    <col min="16" max="16" width="9.625" style="284" customWidth="1"/>
    <col min="17" max="16384" width="12.875" style="125"/>
  </cols>
  <sheetData>
    <row r="1" spans="1:17" s="104" customFormat="1" ht="17.25" customHeight="1" x14ac:dyDescent="0.2">
      <c r="A1" s="251"/>
      <c r="B1" s="255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0"/>
      <c r="P1" s="283"/>
      <c r="Q1" s="244"/>
    </row>
    <row r="2" spans="1:17" s="104" customFormat="1" ht="17.25" customHeight="1" x14ac:dyDescent="0.2">
      <c r="A2" s="251"/>
      <c r="B2" s="255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27/05/63</v>
      </c>
      <c r="O2" s="140"/>
      <c r="P2" s="283"/>
      <c r="Q2" s="244"/>
    </row>
    <row r="3" spans="1:17" ht="6.75" customHeight="1" x14ac:dyDescent="0.2"/>
    <row r="4" spans="1:17" ht="17.25" customHeight="1" x14ac:dyDescent="0.2">
      <c r="A4" s="252" t="s">
        <v>0</v>
      </c>
      <c r="B4" s="245" t="s">
        <v>1</v>
      </c>
      <c r="C4" s="249" t="s">
        <v>27</v>
      </c>
      <c r="D4" s="249" t="s">
        <v>28</v>
      </c>
      <c r="E4" s="249" t="s">
        <v>29</v>
      </c>
      <c r="F4" s="249" t="s">
        <v>30</v>
      </c>
      <c r="G4" s="249" t="s">
        <v>31</v>
      </c>
      <c r="H4" s="249" t="s">
        <v>32</v>
      </c>
      <c r="I4" s="249" t="s">
        <v>33</v>
      </c>
      <c r="J4" s="249" t="s">
        <v>34</v>
      </c>
      <c r="K4" s="249" t="s">
        <v>35</v>
      </c>
      <c r="L4" s="249" t="s">
        <v>36</v>
      </c>
      <c r="M4" s="249" t="s">
        <v>37</v>
      </c>
      <c r="N4" s="249" t="s">
        <v>38</v>
      </c>
      <c r="O4" s="281" t="s">
        <v>39</v>
      </c>
      <c r="P4" s="285" t="s">
        <v>40</v>
      </c>
    </row>
    <row r="5" spans="1:17" ht="17.25" customHeight="1" x14ac:dyDescent="0.2">
      <c r="A5" s="252">
        <v>1</v>
      </c>
      <c r="B5" s="24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4">
        <f>SUM(C5:N5)</f>
        <v>0</v>
      </c>
      <c r="P5" s="286" t="e">
        <f t="shared" ref="P5:P27" si="0">O5/$O$23</f>
        <v>#DIV/0!</v>
      </c>
    </row>
    <row r="6" spans="1:17" ht="17.25" customHeight="1" x14ac:dyDescent="0.2">
      <c r="A6" s="252">
        <v>2</v>
      </c>
      <c r="B6" s="24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4">
        <f t="shared" ref="O6:O27" si="1">SUM(C6:N6)</f>
        <v>0</v>
      </c>
      <c r="P6" s="286" t="e">
        <f t="shared" si="0"/>
        <v>#DIV/0!</v>
      </c>
    </row>
    <row r="7" spans="1:17" ht="17.25" customHeight="1" x14ac:dyDescent="0.2">
      <c r="A7" s="252">
        <v>3</v>
      </c>
      <c r="B7" s="245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4">
        <f t="shared" si="1"/>
        <v>0</v>
      </c>
      <c r="P7" s="286" t="e">
        <f t="shared" si="0"/>
        <v>#DIV/0!</v>
      </c>
    </row>
    <row r="8" spans="1:17" ht="17.25" customHeight="1" x14ac:dyDescent="0.2">
      <c r="A8" s="252">
        <v>4</v>
      </c>
      <c r="B8" s="245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4">
        <f t="shared" si="1"/>
        <v>0</v>
      </c>
      <c r="P8" s="286" t="e">
        <f t="shared" si="0"/>
        <v>#DIV/0!</v>
      </c>
    </row>
    <row r="9" spans="1:17" ht="17.25" customHeight="1" x14ac:dyDescent="0.2">
      <c r="A9" s="252">
        <v>5</v>
      </c>
      <c r="B9" s="245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4">
        <f t="shared" si="1"/>
        <v>0</v>
      </c>
      <c r="P9" s="286" t="e">
        <f t="shared" si="0"/>
        <v>#DIV/0!</v>
      </c>
    </row>
    <row r="10" spans="1:17" ht="17.25" customHeight="1" x14ac:dyDescent="0.2">
      <c r="A10" s="252">
        <v>6</v>
      </c>
      <c r="B10" s="245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4">
        <f t="shared" si="1"/>
        <v>0</v>
      </c>
      <c r="P10" s="286" t="e">
        <f t="shared" si="0"/>
        <v>#DIV/0!</v>
      </c>
    </row>
    <row r="11" spans="1:17" ht="17.25" customHeight="1" x14ac:dyDescent="0.2">
      <c r="A11" s="252">
        <v>7</v>
      </c>
      <c r="B11" s="245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4">
        <f t="shared" si="1"/>
        <v>0</v>
      </c>
      <c r="P11" s="286" t="e">
        <f t="shared" si="0"/>
        <v>#DIV/0!</v>
      </c>
    </row>
    <row r="12" spans="1:17" ht="17.25" customHeight="1" x14ac:dyDescent="0.2">
      <c r="A12" s="252">
        <v>8</v>
      </c>
      <c r="B12" s="245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4">
        <f t="shared" si="1"/>
        <v>0</v>
      </c>
      <c r="P12" s="286" t="e">
        <f t="shared" si="0"/>
        <v>#DIV/0!</v>
      </c>
    </row>
    <row r="13" spans="1:17" ht="17.25" customHeight="1" x14ac:dyDescent="0.2">
      <c r="A13" s="252">
        <v>9</v>
      </c>
      <c r="B13" s="245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4">
        <f t="shared" si="1"/>
        <v>0</v>
      </c>
      <c r="P13" s="286" t="e">
        <f t="shared" si="0"/>
        <v>#DIV/0!</v>
      </c>
    </row>
    <row r="14" spans="1:17" ht="17.25" customHeight="1" x14ac:dyDescent="0.2">
      <c r="A14" s="252">
        <v>10</v>
      </c>
      <c r="B14" s="24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4">
        <f t="shared" si="1"/>
        <v>0</v>
      </c>
      <c r="P14" s="286" t="e">
        <f t="shared" si="0"/>
        <v>#DIV/0!</v>
      </c>
    </row>
    <row r="15" spans="1:17" ht="17.25" customHeight="1" x14ac:dyDescent="0.2">
      <c r="A15" s="252">
        <v>11</v>
      </c>
      <c r="B15" s="245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4">
        <f t="shared" si="1"/>
        <v>0</v>
      </c>
      <c r="P15" s="286" t="e">
        <f t="shared" si="0"/>
        <v>#DIV/0!</v>
      </c>
    </row>
    <row r="16" spans="1:17" ht="17.25" customHeight="1" x14ac:dyDescent="0.2">
      <c r="A16" s="252">
        <v>12</v>
      </c>
      <c r="B16" s="245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4">
        <f t="shared" si="1"/>
        <v>0</v>
      </c>
      <c r="P16" s="286" t="e">
        <f t="shared" si="0"/>
        <v>#DIV/0!</v>
      </c>
    </row>
    <row r="17" spans="1:16" ht="17.25" customHeight="1" x14ac:dyDescent="0.2">
      <c r="A17" s="252">
        <v>13</v>
      </c>
      <c r="B17" s="245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4">
        <f t="shared" si="1"/>
        <v>0</v>
      </c>
      <c r="P17" s="286" t="e">
        <f t="shared" si="0"/>
        <v>#DIV/0!</v>
      </c>
    </row>
    <row r="18" spans="1:16" ht="17.25" customHeight="1" x14ac:dyDescent="0.2">
      <c r="A18" s="252">
        <v>14</v>
      </c>
      <c r="B18" s="245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4">
        <f t="shared" si="1"/>
        <v>0</v>
      </c>
      <c r="P18" s="286" t="e">
        <f t="shared" si="0"/>
        <v>#DIV/0!</v>
      </c>
    </row>
    <row r="19" spans="1:16" ht="17.25" customHeight="1" x14ac:dyDescent="0.2">
      <c r="A19" s="252">
        <v>15</v>
      </c>
      <c r="B19" s="24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4">
        <f t="shared" si="1"/>
        <v>0</v>
      </c>
      <c r="P19" s="286" t="e">
        <f t="shared" si="0"/>
        <v>#DIV/0!</v>
      </c>
    </row>
    <row r="20" spans="1:16" ht="17.25" customHeight="1" x14ac:dyDescent="0.2">
      <c r="A20" s="252">
        <v>16</v>
      </c>
      <c r="B20" s="245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4">
        <f t="shared" si="1"/>
        <v>0</v>
      </c>
      <c r="P20" s="286" t="e">
        <f t="shared" si="0"/>
        <v>#DIV/0!</v>
      </c>
    </row>
    <row r="21" spans="1:16" ht="17.25" customHeight="1" x14ac:dyDescent="0.2">
      <c r="A21" s="252">
        <v>17</v>
      </c>
      <c r="B21" s="24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4">
        <f t="shared" si="1"/>
        <v>0</v>
      </c>
      <c r="P21" s="286" t="e">
        <f t="shared" si="0"/>
        <v>#DIV/0!</v>
      </c>
    </row>
    <row r="22" spans="1:16" ht="17.25" customHeight="1" x14ac:dyDescent="0.2">
      <c r="A22" s="252">
        <v>18</v>
      </c>
      <c r="B22" s="245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4">
        <f t="shared" si="1"/>
        <v>0</v>
      </c>
      <c r="P22" s="286" t="e">
        <f t="shared" si="0"/>
        <v>#DIV/0!</v>
      </c>
    </row>
    <row r="23" spans="1:16" s="261" customFormat="1" ht="17.25" customHeight="1" x14ac:dyDescent="0.2">
      <c r="A23" s="262" t="s">
        <v>67</v>
      </c>
      <c r="B23" s="26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2">
        <f t="shared" si="1"/>
        <v>0</v>
      </c>
      <c r="P23" s="287" t="e">
        <f t="shared" si="0"/>
        <v>#DIV/0!</v>
      </c>
    </row>
    <row r="24" spans="1:16" ht="17.25" customHeight="1" x14ac:dyDescent="0.2">
      <c r="A24" s="253">
        <v>19</v>
      </c>
      <c r="B24" s="246" t="s">
        <v>16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64">
        <f t="shared" si="1"/>
        <v>0</v>
      </c>
      <c r="P24" s="286" t="e">
        <f t="shared" si="0"/>
        <v>#DIV/0!</v>
      </c>
    </row>
    <row r="25" spans="1:16" ht="17.25" customHeight="1" x14ac:dyDescent="0.2">
      <c r="A25" s="253">
        <v>20</v>
      </c>
      <c r="B25" s="246" t="s">
        <v>17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64">
        <f t="shared" si="1"/>
        <v>0</v>
      </c>
      <c r="P25" s="286" t="e">
        <f t="shared" si="0"/>
        <v>#DIV/0!</v>
      </c>
    </row>
    <row r="26" spans="1:16" s="261" customFormat="1" ht="17.25" customHeight="1" x14ac:dyDescent="0.2">
      <c r="A26" s="268" t="s">
        <v>54</v>
      </c>
      <c r="B26" s="269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0">
        <f t="shared" si="1"/>
        <v>0</v>
      </c>
      <c r="P26" s="288" t="e">
        <f t="shared" si="0"/>
        <v>#DIV/0!</v>
      </c>
    </row>
    <row r="27" spans="1:16" s="265" customFormat="1" ht="17.25" customHeight="1" x14ac:dyDescent="0.2">
      <c r="A27" s="273" t="s">
        <v>68</v>
      </c>
      <c r="B27" s="274" t="s">
        <v>25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>
        <f t="shared" si="1"/>
        <v>0</v>
      </c>
      <c r="P27" s="289" t="e">
        <f t="shared" si="0"/>
        <v>#DIV/0!</v>
      </c>
    </row>
    <row r="28" spans="1:16" s="115" customFormat="1" ht="18" customHeight="1" x14ac:dyDescent="0.45">
      <c r="A28" s="254"/>
      <c r="B28" s="256"/>
      <c r="O28" s="309"/>
      <c r="P28" s="354"/>
    </row>
    <row r="29" spans="1:16" s="115" customFormat="1" ht="18" customHeight="1" x14ac:dyDescent="0.45">
      <c r="A29" s="254"/>
      <c r="B29" s="256"/>
      <c r="L29" s="362" t="s">
        <v>49</v>
      </c>
      <c r="M29" s="362"/>
      <c r="N29" s="362"/>
      <c r="O29" s="309"/>
      <c r="P29" s="354"/>
    </row>
    <row r="30" spans="1:16" s="115" customFormat="1" ht="18" customHeight="1" x14ac:dyDescent="0.45">
      <c r="A30" s="254"/>
      <c r="B30" s="256"/>
      <c r="G30" s="362" t="s">
        <v>79</v>
      </c>
      <c r="H30" s="362"/>
      <c r="I30" s="362"/>
      <c r="J30" s="121"/>
      <c r="K30" s="121"/>
      <c r="L30" s="362"/>
      <c r="M30" s="362"/>
      <c r="N30" s="362"/>
      <c r="O30" s="309"/>
      <c r="P30" s="354"/>
    </row>
    <row r="31" spans="1:16" s="115" customFormat="1" ht="18" customHeight="1" x14ac:dyDescent="0.45">
      <c r="A31" s="254"/>
      <c r="B31" s="256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09"/>
      <c r="P31" s="354"/>
    </row>
    <row r="32" spans="1:16" s="115" customFormat="1" ht="18" customHeight="1" x14ac:dyDescent="0.45">
      <c r="A32" s="254"/>
      <c r="B32" s="256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09"/>
      <c r="P32" s="354"/>
    </row>
    <row r="33" spans="1:16" s="115" customFormat="1" ht="18" customHeight="1" x14ac:dyDescent="0.45">
      <c r="A33" s="254"/>
      <c r="B33" s="256"/>
      <c r="G33" s="122"/>
      <c r="H33" s="122"/>
      <c r="I33" s="122"/>
      <c r="J33" s="122"/>
      <c r="K33" s="121"/>
      <c r="L33" s="122"/>
      <c r="M33" s="122"/>
      <c r="N33" s="124"/>
      <c r="O33" s="309"/>
      <c r="P33" s="354"/>
    </row>
    <row r="34" spans="1:16" s="115" customFormat="1" ht="18" customHeight="1" x14ac:dyDescent="0.45">
      <c r="A34" s="254"/>
      <c r="B34" s="256"/>
      <c r="O34" s="309"/>
      <c r="P34" s="354"/>
    </row>
    <row r="35" spans="1:16" s="115" customFormat="1" ht="18" customHeight="1" x14ac:dyDescent="0.45">
      <c r="A35" s="254"/>
      <c r="B35" s="256"/>
      <c r="O35" s="309"/>
      <c r="P35" s="354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6" zoomScale="172" zoomScaleNormal="172" workbookViewId="0">
      <selection activeCell="J25" sqref="J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56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27/05/63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f>171+3514.7-299.6+481.5</f>
        <v>3867.6</v>
      </c>
      <c r="D5" s="36">
        <f>13369.47-1040-3780-145-350-171.2-149.8+1242.15</f>
        <v>8975.619999999999</v>
      </c>
      <c r="E5" s="36">
        <f>9883.17+4398+3384.95-1320-570-190</f>
        <v>15586.119999999999</v>
      </c>
      <c r="F5" s="36">
        <f>10626.1-270-2520+500+120+429</f>
        <v>8885.1</v>
      </c>
      <c r="G5" s="36">
        <f>3895.74+320</f>
        <v>4215.74</v>
      </c>
      <c r="H5" s="36">
        <f>13316.6+83.46+272.95-3120-1800-72.5-280-171.2-374.5+2328+32</f>
        <v>10214.81</v>
      </c>
      <c r="I5" s="36">
        <f>9009.75+550-440-440-440</f>
        <v>8239.75</v>
      </c>
      <c r="J5" s="36">
        <f>10098.25-1560-190-43.5-29-345-550</f>
        <v>7380.75</v>
      </c>
      <c r="K5" s="36"/>
      <c r="L5" s="36"/>
      <c r="M5" s="36"/>
      <c r="N5" s="36"/>
      <c r="O5" s="355">
        <f>SUM(C5:N5)</f>
        <v>67365.489999999991</v>
      </c>
      <c r="P5" s="286">
        <f t="shared" ref="P5:P27" si="0">O5/$O$23</f>
        <v>0.1086487782064829</v>
      </c>
    </row>
    <row r="6" spans="1:17" ht="17.25" customHeight="1" x14ac:dyDescent="0.2">
      <c r="A6" s="25">
        <v>2</v>
      </c>
      <c r="B6" s="26" t="s">
        <v>19</v>
      </c>
      <c r="C6" s="36">
        <f>4535.12+2440</f>
        <v>6975.12</v>
      </c>
      <c r="D6" s="36">
        <f>9414.2-1560-2520</f>
        <v>5334.2000000000007</v>
      </c>
      <c r="E6" s="36">
        <f>2318.5+285</f>
        <v>2603.5</v>
      </c>
      <c r="F6" s="36">
        <f>4202.7-224.7</f>
        <v>3978</v>
      </c>
      <c r="G6" s="36">
        <f>9485.1-1560-190-149.8+1020</f>
        <v>8605.2999999999993</v>
      </c>
      <c r="H6" s="36">
        <f>5374.11-224.7+963+960+4258.81+256.8+88.5+170+114</f>
        <v>11960.52</v>
      </c>
      <c r="I6" s="36">
        <f>6068.64+525+224</f>
        <v>6817.64</v>
      </c>
      <c r="J6" s="36">
        <f>4311-780</f>
        <v>3531</v>
      </c>
      <c r="K6" s="36"/>
      <c r="L6" s="36"/>
      <c r="M6" s="36"/>
      <c r="N6" s="36"/>
      <c r="O6" s="355">
        <f t="shared" ref="O6:O22" si="1">SUM(C6:N6)</f>
        <v>49805.279999999999</v>
      </c>
      <c r="P6" s="286">
        <f t="shared" si="0"/>
        <v>8.0327224224625682E-2</v>
      </c>
    </row>
    <row r="7" spans="1:17" ht="17.25" customHeight="1" x14ac:dyDescent="0.2">
      <c r="A7" s="25">
        <v>3</v>
      </c>
      <c r="B7" s="26" t="s">
        <v>20</v>
      </c>
      <c r="C7" s="36">
        <f>5949.65-110-440-440+5149.2-550</f>
        <v>9558.8499999999985</v>
      </c>
      <c r="D7" s="36">
        <v>120</v>
      </c>
      <c r="E7" s="36">
        <f>2516.95+1319.4</f>
        <v>3836.35</v>
      </c>
      <c r="F7" s="36">
        <f>1187.7+1400+134.82+202.23</f>
        <v>2924.75</v>
      </c>
      <c r="G7" s="36">
        <f>876.33+320+246.1</f>
        <v>1442.4299999999998</v>
      </c>
      <c r="H7" s="36">
        <f>3042.95+1284-1560-660-550-330+2983.9-256.8-149.8-374.5-500</f>
        <v>2929.75</v>
      </c>
      <c r="I7" s="36">
        <v>2252.04</v>
      </c>
      <c r="J7" s="36">
        <f>4192.25-660-700</f>
        <v>2832.25</v>
      </c>
      <c r="K7" s="36"/>
      <c r="L7" s="36"/>
      <c r="M7" s="36"/>
      <c r="N7" s="36"/>
      <c r="O7" s="355">
        <f t="shared" si="1"/>
        <v>25896.42</v>
      </c>
      <c r="P7" s="286">
        <f t="shared" si="0"/>
        <v>4.1766405809887643E-2</v>
      </c>
    </row>
    <row r="8" spans="1:17" ht="17.25" customHeight="1" x14ac:dyDescent="0.2">
      <c r="A8" s="25">
        <v>4</v>
      </c>
      <c r="B8" s="26" t="s">
        <v>21</v>
      </c>
      <c r="C8" s="36">
        <f>7635.58-1100</f>
        <v>6535.58</v>
      </c>
      <c r="D8" s="36">
        <f>4228.12-322.67-395.9+4963.75</f>
        <v>8473.2999999999993</v>
      </c>
      <c r="E8" s="36">
        <f>11413.63-1300-550-550-550-330+962+235.4</f>
        <v>9331.0299999999988</v>
      </c>
      <c r="F8" s="36">
        <f>5581.1+122+1530</f>
        <v>7233.1</v>
      </c>
      <c r="G8" s="36">
        <v>320</v>
      </c>
      <c r="H8" s="36">
        <f>15718.86-158.36-149.8-149.8</f>
        <v>15260.900000000001</v>
      </c>
      <c r="I8" s="36">
        <f>8464.1-200-5040+325</f>
        <v>3549.1000000000004</v>
      </c>
      <c r="J8" s="36">
        <f>3843+112.35</f>
        <v>3955.35</v>
      </c>
      <c r="K8" s="36"/>
      <c r="L8" s="36"/>
      <c r="M8" s="36"/>
      <c r="N8" s="36"/>
      <c r="O8" s="355">
        <f t="shared" si="1"/>
        <v>54658.359999999993</v>
      </c>
      <c r="P8" s="286">
        <f t="shared" si="0"/>
        <v>8.8154395266331426E-2</v>
      </c>
    </row>
    <row r="9" spans="1:17" ht="17.25" customHeight="1" x14ac:dyDescent="0.2">
      <c r="A9" s="25">
        <v>5</v>
      </c>
      <c r="B9" s="26" t="s">
        <v>2</v>
      </c>
      <c r="C9" s="36">
        <f>2855.7-504+5390.5-2000-390-175+90</f>
        <v>5267.2</v>
      </c>
      <c r="D9" s="36">
        <f>1444-256.8+498</f>
        <v>1685.2</v>
      </c>
      <c r="E9" s="36">
        <f>2966.5+75+285+139.1+1400-600</f>
        <v>4265.6000000000004</v>
      </c>
      <c r="F9" s="36">
        <f>9237.14-550-1750-642+1020</f>
        <v>7315.1399999999994</v>
      </c>
      <c r="G9" s="36">
        <f>2743.2-75</f>
        <v>2668.2</v>
      </c>
      <c r="H9" s="36">
        <f>3641.5+337.05+1000</f>
        <v>4978.55</v>
      </c>
      <c r="I9" s="36">
        <f>13094.04-149.8-500-330-330-100-350+385.2+279.95</f>
        <v>11999.390000000003</v>
      </c>
      <c r="J9" s="36">
        <f>1583.02+525+44.25+250</f>
        <v>2402.27</v>
      </c>
      <c r="K9" s="36"/>
      <c r="L9" s="36"/>
      <c r="M9" s="36"/>
      <c r="N9" s="36"/>
      <c r="O9" s="355">
        <f t="shared" si="1"/>
        <v>40581.549999999996</v>
      </c>
      <c r="P9" s="286">
        <f t="shared" si="0"/>
        <v>6.5450957533676316E-2</v>
      </c>
    </row>
    <row r="10" spans="1:17" ht="17.25" customHeight="1" x14ac:dyDescent="0.2">
      <c r="A10" s="25">
        <v>6</v>
      </c>
      <c r="B10" s="26" t="s">
        <v>3</v>
      </c>
      <c r="C10" s="36">
        <v>4603</v>
      </c>
      <c r="D10" s="36">
        <v>0</v>
      </c>
      <c r="E10" s="36">
        <f>2327.6+35-550</f>
        <v>1812.6</v>
      </c>
      <c r="F10" s="36">
        <f>64+2816.77</f>
        <v>2880.77</v>
      </c>
      <c r="G10" s="36">
        <f>2936.1+160</f>
        <v>3096.1</v>
      </c>
      <c r="H10" s="36">
        <f>5193.77-315+598.65</f>
        <v>5477.42</v>
      </c>
      <c r="I10" s="36">
        <f>1774.85-330+221.52+170+1605+60</f>
        <v>3501.37</v>
      </c>
      <c r="J10" s="36">
        <f>3735.1+375+337+31+960</f>
        <v>5438.1</v>
      </c>
      <c r="K10" s="36"/>
      <c r="L10" s="36"/>
      <c r="M10" s="36"/>
      <c r="N10" s="36"/>
      <c r="O10" s="355">
        <f t="shared" si="1"/>
        <v>26809.360000000001</v>
      </c>
      <c r="P10" s="286">
        <f t="shared" si="0"/>
        <v>4.3238818696305109E-2</v>
      </c>
    </row>
    <row r="11" spans="1:17" ht="17.25" customHeight="1" x14ac:dyDescent="0.2">
      <c r="A11" s="25">
        <v>7</v>
      </c>
      <c r="B11" s="26" t="s">
        <v>4</v>
      </c>
      <c r="C11" s="36">
        <f>10996.25-72.5-224-330-220-428-749</f>
        <v>8972.75</v>
      </c>
      <c r="D11" s="36">
        <v>0</v>
      </c>
      <c r="E11" s="36">
        <f>13316.74-190-237.54-145-224-330-1050+250</f>
        <v>11390.199999999999</v>
      </c>
      <c r="F11" s="36">
        <f>11005.1-500-224-550-700</f>
        <v>9031.1</v>
      </c>
      <c r="G11" s="36">
        <f>320+1000+3414.4-374.5+4783.4-224-220</f>
        <v>8699.2999999999993</v>
      </c>
      <c r="H11" s="36">
        <f>2782+1400+337.5+158.36+158.36+598.65</f>
        <v>5434.869999999999</v>
      </c>
      <c r="I11" s="36">
        <f>4026-1800</f>
        <v>2226</v>
      </c>
      <c r="J11" s="36">
        <f>9858.22-224.7+375-79.18-700</f>
        <v>9229.3399999999983</v>
      </c>
      <c r="K11" s="36"/>
      <c r="L11" s="36"/>
      <c r="M11" s="36"/>
      <c r="N11" s="36"/>
      <c r="O11" s="355">
        <f t="shared" si="1"/>
        <v>54983.559999999983</v>
      </c>
      <c r="P11" s="286">
        <f t="shared" si="0"/>
        <v>8.8678886109829283E-2</v>
      </c>
    </row>
    <row r="12" spans="1:17" ht="17.25" customHeight="1" x14ac:dyDescent="0.2">
      <c r="A12" s="25">
        <v>8</v>
      </c>
      <c r="B12" s="26" t="s">
        <v>5</v>
      </c>
      <c r="C12" s="36">
        <v>377.5</v>
      </c>
      <c r="D12" s="36">
        <f>4408.6-1210+198+480+4118.9-299-1050</f>
        <v>6646.5</v>
      </c>
      <c r="E12" s="36">
        <f>1617.84+674.1+1011.5+462</f>
        <v>3765.44</v>
      </c>
      <c r="F12" s="36">
        <f>960+2757.09-330+1274.5</f>
        <v>4661.59</v>
      </c>
      <c r="G12" s="36">
        <f>9563.8-220-700+225.63+132.75+640+425+1275</f>
        <v>11342.179999999998</v>
      </c>
      <c r="H12" s="36">
        <f>1041+32+219.35+1240+293+492.2+705+192.6+405</f>
        <v>4620.1499999999996</v>
      </c>
      <c r="I12" s="36">
        <f>1061-330</f>
        <v>731</v>
      </c>
      <c r="J12" s="36">
        <f>1135.2+450.2+840+265.5+309.75</f>
        <v>3000.65</v>
      </c>
      <c r="K12" s="36"/>
      <c r="L12" s="36"/>
      <c r="M12" s="36"/>
      <c r="N12" s="36"/>
      <c r="O12" s="355">
        <f t="shared" si="1"/>
        <v>35145.01</v>
      </c>
      <c r="P12" s="286">
        <f t="shared" si="0"/>
        <v>5.6682767342071207E-2</v>
      </c>
    </row>
    <row r="13" spans="1:17" ht="17.25" customHeight="1" x14ac:dyDescent="0.2">
      <c r="A13" s="25">
        <v>9</v>
      </c>
      <c r="B13" s="26" t="s">
        <v>6</v>
      </c>
      <c r="C13" s="36">
        <f>8924.02-1400-149.8-149.8</f>
        <v>7224.42</v>
      </c>
      <c r="D13" s="36">
        <v>3660.16</v>
      </c>
      <c r="E13" s="36">
        <v>2133.5</v>
      </c>
      <c r="F13" s="36">
        <f>4291.1-1750-149.8-149.8+984.4+231.12</f>
        <v>3457.02</v>
      </c>
      <c r="G13" s="36">
        <f>3399.4+235.4+160+197.95-149.8-224.7</f>
        <v>3618.25</v>
      </c>
      <c r="H13" s="36">
        <f>2990.61-149.8-1080+750</f>
        <v>2510.81</v>
      </c>
      <c r="I13" s="36">
        <f>4234.44-149.8-149.8</f>
        <v>3934.8399999999992</v>
      </c>
      <c r="J13" s="36">
        <v>2254.7600000000002</v>
      </c>
      <c r="K13" s="36"/>
      <c r="L13" s="36"/>
      <c r="M13" s="36"/>
      <c r="N13" s="36"/>
      <c r="O13" s="355">
        <f t="shared" si="1"/>
        <v>28793.760000000002</v>
      </c>
      <c r="P13" s="286">
        <f t="shared" si="0"/>
        <v>4.6439309562963167E-2</v>
      </c>
    </row>
    <row r="14" spans="1:17" ht="17.25" customHeight="1" x14ac:dyDescent="0.2">
      <c r="A14" s="25">
        <v>10</v>
      </c>
      <c r="B14" s="26" t="s">
        <v>7</v>
      </c>
      <c r="C14" s="36">
        <f>267.5+135+92.02</f>
        <v>494.52</v>
      </c>
      <c r="D14" s="36">
        <v>3543.84</v>
      </c>
      <c r="E14" s="36">
        <f>2413.24-110-110</f>
        <v>2193.2399999999998</v>
      </c>
      <c r="F14" s="36">
        <f>1691.35+1020+1186</f>
        <v>3897.35</v>
      </c>
      <c r="G14" s="36">
        <f>1325-700+96+1020</f>
        <v>1741</v>
      </c>
      <c r="H14" s="36">
        <f>1048.52+55.64+2135.3</f>
        <v>3239.46</v>
      </c>
      <c r="I14" s="36">
        <v>0</v>
      </c>
      <c r="J14" s="36">
        <f>4000.83+1560+246.1</f>
        <v>5806.93</v>
      </c>
      <c r="K14" s="36"/>
      <c r="L14" s="36"/>
      <c r="M14" s="36"/>
      <c r="N14" s="36"/>
      <c r="O14" s="355">
        <f t="shared" si="1"/>
        <v>20916.34</v>
      </c>
      <c r="P14" s="286">
        <f t="shared" si="0"/>
        <v>3.3734405933236539E-2</v>
      </c>
    </row>
    <row r="15" spans="1:17" ht="17.25" customHeight="1" x14ac:dyDescent="0.2">
      <c r="A15" s="25">
        <v>11</v>
      </c>
      <c r="B15" s="26" t="s">
        <v>8</v>
      </c>
      <c r="C15" s="36">
        <f>7452.9-550-330-700-650+1945</f>
        <v>7167.9</v>
      </c>
      <c r="D15" s="36">
        <f>2880.5-550-650</f>
        <v>1680.5</v>
      </c>
      <c r="E15" s="36">
        <f>2413.24-110-110-700</f>
        <v>1493.2399999999998</v>
      </c>
      <c r="F15" s="36">
        <f>288.9+791.8+513.6+320+1230</f>
        <v>3144.2999999999997</v>
      </c>
      <c r="G15" s="36">
        <f>3490</f>
        <v>3490</v>
      </c>
      <c r="H15" s="36">
        <f>1368.63+2528.3-560+3700.59</f>
        <v>7037.52</v>
      </c>
      <c r="I15" s="36">
        <f>3589.39-480-220-110-350+2619.6-550-700</f>
        <v>3798.99</v>
      </c>
      <c r="J15" s="36">
        <f>2278.9+3477.5</f>
        <v>5756.4</v>
      </c>
      <c r="K15" s="36"/>
      <c r="L15" s="36"/>
      <c r="M15" s="36"/>
      <c r="N15" s="36"/>
      <c r="O15" s="355">
        <f t="shared" si="1"/>
        <v>33568.85</v>
      </c>
      <c r="P15" s="286">
        <f t="shared" si="0"/>
        <v>5.4140696346106798E-2</v>
      </c>
    </row>
    <row r="16" spans="1:17" ht="17.25" customHeight="1" x14ac:dyDescent="0.2">
      <c r="A16" s="25">
        <v>12</v>
      </c>
      <c r="B16" s="26" t="s">
        <v>9</v>
      </c>
      <c r="C16" s="36">
        <f>2743.8-350-325</f>
        <v>2068.8000000000002</v>
      </c>
      <c r="D16" s="36">
        <f>4941.88-500-112-161.33-85.6-74.9</f>
        <v>4008.05</v>
      </c>
      <c r="E16" s="36">
        <v>2176</v>
      </c>
      <c r="F16" s="36">
        <f>1099.32+128.4+492.2</f>
        <v>1719.92</v>
      </c>
      <c r="G16" s="36">
        <f>1239-75-79.16-440-350+705+695.5</f>
        <v>1695.34</v>
      </c>
      <c r="H16" s="36">
        <f>1997.43-85.6</f>
        <v>1911.8300000000002</v>
      </c>
      <c r="I16" s="36">
        <v>1656.8</v>
      </c>
      <c r="J16" s="36">
        <f>1917.15-750-79.18-220</f>
        <v>867.97</v>
      </c>
      <c r="K16" s="36"/>
      <c r="L16" s="36"/>
      <c r="M16" s="36"/>
      <c r="N16" s="36"/>
      <c r="O16" s="355">
        <f t="shared" si="1"/>
        <v>16104.71</v>
      </c>
      <c r="P16" s="286">
        <f t="shared" si="0"/>
        <v>2.5974086507345635E-2</v>
      </c>
    </row>
    <row r="17" spans="1:16" ht="17.25" customHeight="1" x14ac:dyDescent="0.2">
      <c r="A17" s="25">
        <v>13</v>
      </c>
      <c r="B17" s="26" t="s">
        <v>10</v>
      </c>
      <c r="C17" s="36">
        <f>5948.18-79.18-110-1300</f>
        <v>4459</v>
      </c>
      <c r="D17" s="36">
        <v>765</v>
      </c>
      <c r="E17" s="36">
        <v>171</v>
      </c>
      <c r="F17" s="36">
        <f>1391+4490.3-700-224.7+510+6444.24+450+170+305</f>
        <v>12835.84</v>
      </c>
      <c r="G17" s="36">
        <f>3869.39-278-200+250+88.5</f>
        <v>3729.89</v>
      </c>
      <c r="H17" s="36">
        <v>0</v>
      </c>
      <c r="I17" s="36">
        <f>5341.85-330-110+4236.75-149.8-1800-1040</f>
        <v>6148.8000000000011</v>
      </c>
      <c r="J17" s="36">
        <f>14762.35+370+250-7560-350</f>
        <v>7472.35</v>
      </c>
      <c r="K17" s="36"/>
      <c r="L17" s="36"/>
      <c r="M17" s="36"/>
      <c r="N17" s="36"/>
      <c r="O17" s="355">
        <f t="shared" si="1"/>
        <v>35581.879999999997</v>
      </c>
      <c r="P17" s="286">
        <f t="shared" si="0"/>
        <v>5.7387362406028514E-2</v>
      </c>
    </row>
    <row r="18" spans="1:16" ht="17.25" customHeight="1" x14ac:dyDescent="0.2">
      <c r="A18" s="25">
        <v>14</v>
      </c>
      <c r="B18" s="26" t="s">
        <v>11</v>
      </c>
      <c r="C18" s="36">
        <f>840-220+695+288.9+214+270</f>
        <v>2087.9</v>
      </c>
      <c r="D18" s="36">
        <f>3832.5-1260</f>
        <v>2572.5</v>
      </c>
      <c r="E18" s="36">
        <f>2586.77+1319+285+700-175+4405.9</f>
        <v>9121.67</v>
      </c>
      <c r="F18" s="36">
        <f>3533.87-149.8</f>
        <v>3384.0699999999997</v>
      </c>
      <c r="G18" s="36">
        <f>1070+160+705</f>
        <v>1935</v>
      </c>
      <c r="H18" s="36">
        <v>0</v>
      </c>
      <c r="I18" s="36">
        <f>2265.01-700+60+41.61</f>
        <v>1666.6200000000001</v>
      </c>
      <c r="J18" s="36">
        <f>2761-450-330</f>
        <v>1981</v>
      </c>
      <c r="K18" s="36"/>
      <c r="L18" s="36"/>
      <c r="M18" s="36"/>
      <c r="N18" s="36"/>
      <c r="O18" s="355">
        <f t="shared" si="1"/>
        <v>22748.76</v>
      </c>
      <c r="P18" s="286">
        <f t="shared" si="0"/>
        <v>3.6689779584658404E-2</v>
      </c>
    </row>
    <row r="19" spans="1:16" ht="17.25" customHeight="1" x14ac:dyDescent="0.2">
      <c r="A19" s="25">
        <v>15</v>
      </c>
      <c r="B19" s="26" t="s">
        <v>12</v>
      </c>
      <c r="C19" s="36">
        <v>7265.75</v>
      </c>
      <c r="D19" s="36">
        <f>2460.11-85.6</f>
        <v>2374.5100000000002</v>
      </c>
      <c r="E19" s="36">
        <v>0</v>
      </c>
      <c r="F19" s="36">
        <f>2040+122+13917.82-500-440-1400</f>
        <v>13739.82</v>
      </c>
      <c r="G19" s="36">
        <f>6813.9-700</f>
        <v>6113.9</v>
      </c>
      <c r="H19" s="36">
        <f>6532.4+170</f>
        <v>6702.4</v>
      </c>
      <c r="I19" s="36">
        <f>4607.82-500-2520-220</f>
        <v>1367.8199999999997</v>
      </c>
      <c r="J19" s="36">
        <f>1935.26+642+44+70+64+64+450+2372.95+1390</f>
        <v>7032.21</v>
      </c>
      <c r="K19" s="36"/>
      <c r="L19" s="36"/>
      <c r="M19" s="36"/>
      <c r="N19" s="36"/>
      <c r="O19" s="355">
        <f t="shared" si="1"/>
        <v>44596.41</v>
      </c>
      <c r="P19" s="286">
        <f t="shared" si="0"/>
        <v>7.1926226008233257E-2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f>2460.11-85.6</f>
        <v>2374.5100000000002</v>
      </c>
      <c r="E20" s="36">
        <v>480</v>
      </c>
      <c r="F20" s="36">
        <f>2556.8-1050</f>
        <v>1506.8000000000002</v>
      </c>
      <c r="G20" s="36">
        <f>1835.4+160</f>
        <v>1995.4</v>
      </c>
      <c r="H20" s="36">
        <f>800</f>
        <v>800</v>
      </c>
      <c r="I20" s="36">
        <f>1850-220-149.8-175+60</f>
        <v>1365.2</v>
      </c>
      <c r="J20" s="36">
        <f>1391+700+60+88.5+310</f>
        <v>2549.5</v>
      </c>
      <c r="K20" s="36"/>
      <c r="L20" s="36"/>
      <c r="M20" s="36"/>
      <c r="N20" s="36"/>
      <c r="O20" s="355">
        <f t="shared" si="1"/>
        <v>11071.410000000002</v>
      </c>
      <c r="P20" s="286">
        <f t="shared" si="0"/>
        <v>1.7856252059074124E-2</v>
      </c>
    </row>
    <row r="21" spans="1:16" ht="17.25" customHeight="1" x14ac:dyDescent="0.2">
      <c r="A21" s="25">
        <v>17</v>
      </c>
      <c r="B21" s="26" t="s">
        <v>14</v>
      </c>
      <c r="C21" s="36">
        <f>2880.9+1391</f>
        <v>4271.8999999999996</v>
      </c>
      <c r="D21" s="36">
        <f>5888.82-149.8-100</f>
        <v>5639.0199999999995</v>
      </c>
      <c r="E21" s="36">
        <f>3170.39-149.8</f>
        <v>3020.5899999999997</v>
      </c>
      <c r="F21" s="36">
        <f>2139.35+17.12+17.12+498+135+60-85.6+3743.5</f>
        <v>6524.49</v>
      </c>
      <c r="G21" s="36">
        <f>G24</f>
        <v>10584.43</v>
      </c>
      <c r="H21" s="36">
        <f>1093+320+545.9+674.1</f>
        <v>2633</v>
      </c>
      <c r="I21" s="36">
        <f>2610.8+120</f>
        <v>2730.8</v>
      </c>
      <c r="J21" s="36">
        <f>3442.45+128.4</f>
        <v>3570.85</v>
      </c>
      <c r="K21" s="36"/>
      <c r="L21" s="36"/>
      <c r="M21" s="36"/>
      <c r="N21" s="36"/>
      <c r="O21" s="355">
        <f t="shared" si="1"/>
        <v>38975.08</v>
      </c>
      <c r="P21" s="286">
        <f t="shared" si="0"/>
        <v>6.2860001797655274E-2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f>3663-110-110-79.18+320</f>
        <v>3683.82</v>
      </c>
      <c r="E22" s="36">
        <v>3458.27</v>
      </c>
      <c r="F22" s="36">
        <f>701.94-224.7</f>
        <v>477.24000000000007</v>
      </c>
      <c r="G22" s="36">
        <v>1062.4000000000001</v>
      </c>
      <c r="H22" s="36">
        <v>921</v>
      </c>
      <c r="I22" s="36">
        <f>1885.8-110-420</f>
        <v>1355.8</v>
      </c>
      <c r="J22" s="36">
        <f>2065.63-112-110-374.5</f>
        <v>1469.13</v>
      </c>
      <c r="K22" s="36"/>
      <c r="L22" s="36"/>
      <c r="M22" s="36"/>
      <c r="N22" s="36"/>
      <c r="O22" s="355">
        <f t="shared" si="1"/>
        <v>12427.66</v>
      </c>
      <c r="P22" s="286">
        <f t="shared" si="0"/>
        <v>2.0043646605488647E-2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C21+C20+C19+C18+C17+C16+C15+C14+C13+C12+C11+C10+C9+C8+C7+C6+C5</f>
        <v>81197.790000000008</v>
      </c>
      <c r="D23" s="42">
        <f>D22+D21+D20+D19+D18+D17+D16+D15+D14+D13+D12+D11+D10+D9+D8+D7+D6+D5</f>
        <v>61536.729999999996</v>
      </c>
      <c r="E23" s="42">
        <f>E21+E22+E20+E19+E18+E17+E16+E15+E14+E13+E12+E11+E10+E9+E8+E7+E6+E5</f>
        <v>76838.349999999991</v>
      </c>
      <c r="F23" s="42">
        <f>F22+F20+F19+F18+F17+F16+F15+F14+F13+F12+F11+F10+F9+F8+F7+F6+F5+F21</f>
        <v>97596.400000000009</v>
      </c>
      <c r="G23" s="42">
        <f>G22+G21+G20+G19+G18+G17+G16+G15+G14+G13+G12+G11+G10+G9+G8+G7+G6+G5</f>
        <v>76354.86</v>
      </c>
      <c r="H23" s="42">
        <f>H5+H6+H7+H8+H9+H10+H11+H12+H13+H14+H15+H16+H17+H18+H19+H20+H21+H22</f>
        <v>86632.99</v>
      </c>
      <c r="I23" s="42">
        <f>I5+I6+I7+I8+I9+I10+I11+I12+I13+I14+I15+I16+I17+I18+I19+I20+I21+I22</f>
        <v>63341.960000000006</v>
      </c>
      <c r="J23" s="42">
        <f>J5+J6+J7+J8+J9+J10+J11+J12+J13+J14+J15+J16+J17+J18+J19+J20+J21+J22</f>
        <v>76530.810000000012</v>
      </c>
      <c r="K23" s="42"/>
      <c r="L23" s="42"/>
      <c r="M23" s="42"/>
      <c r="N23" s="42"/>
      <c r="O23" s="53">
        <f>SUM(C23:N23)</f>
        <v>620029.89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11752.34+885</f>
        <v>12637.34</v>
      </c>
      <c r="D24" s="36">
        <v>668</v>
      </c>
      <c r="E24" s="36">
        <f>5027.5+800+250+800+2256.63+32721.7-880</f>
        <v>40975.83</v>
      </c>
      <c r="F24" s="36">
        <f>4522.5+2550+429.07+1600+141.24+1230</f>
        <v>10472.81</v>
      </c>
      <c r="G24" s="36">
        <v>10584.43</v>
      </c>
      <c r="H24" s="36">
        <f>3423.15+118+13301.19-330</f>
        <v>16512.34</v>
      </c>
      <c r="I24" s="36">
        <f>3041.1-550+428</f>
        <v>2919.1</v>
      </c>
      <c r="J24" s="36">
        <f>36868.21-550-145-1100-1100</f>
        <v>33973.21</v>
      </c>
      <c r="K24" s="36"/>
      <c r="L24" s="36"/>
      <c r="M24" s="36"/>
      <c r="N24" s="36"/>
      <c r="O24" s="355">
        <f>SUM(C24:N24)</f>
        <v>128743.06</v>
      </c>
      <c r="P24" s="286">
        <f t="shared" si="0"/>
        <v>0.20764008651260343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5">
        <f t="shared" ref="O25" si="2">SUM(C25:N25)</f>
        <v>0</v>
      </c>
      <c r="P25" s="286">
        <f t="shared" si="0"/>
        <v>0</v>
      </c>
    </row>
    <row r="26" spans="1:16" s="48" customFormat="1" ht="17.25" customHeight="1" x14ac:dyDescent="0.2">
      <c r="A26" s="49" t="s">
        <v>54</v>
      </c>
      <c r="B26" s="151" t="s">
        <v>23</v>
      </c>
      <c r="C26" s="41">
        <f>SUM(C24:C25)</f>
        <v>12637.34</v>
      </c>
      <c r="D26" s="41">
        <f t="shared" ref="D26:N26" si="3">SUM(D24:D25)</f>
        <v>668</v>
      </c>
      <c r="E26" s="41">
        <f t="shared" si="3"/>
        <v>40975.83</v>
      </c>
      <c r="F26" s="41">
        <f t="shared" si="3"/>
        <v>10472.81</v>
      </c>
      <c r="G26" s="41">
        <f t="shared" si="3"/>
        <v>10584.43</v>
      </c>
      <c r="H26" s="41">
        <f t="shared" si="3"/>
        <v>16512.34</v>
      </c>
      <c r="I26" s="41">
        <f t="shared" si="3"/>
        <v>2919.1</v>
      </c>
      <c r="J26" s="41">
        <f t="shared" si="3"/>
        <v>33973.21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1">
        <f>SUM(C26:N26)</f>
        <v>128743.06</v>
      </c>
      <c r="P26" s="288">
        <f t="shared" si="0"/>
        <v>0.20764008651260343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93835.13</v>
      </c>
      <c r="D27" s="278">
        <f t="shared" ref="D27:N27" si="4">D23+D26</f>
        <v>62204.729999999996</v>
      </c>
      <c r="E27" s="278">
        <f t="shared" si="4"/>
        <v>117814.18</v>
      </c>
      <c r="F27" s="278">
        <f t="shared" si="4"/>
        <v>108069.21</v>
      </c>
      <c r="G27" s="278">
        <f t="shared" si="4"/>
        <v>86939.290000000008</v>
      </c>
      <c r="H27" s="278">
        <f t="shared" si="4"/>
        <v>103145.33</v>
      </c>
      <c r="I27" s="278">
        <f t="shared" si="4"/>
        <v>66261.060000000012</v>
      </c>
      <c r="J27" s="278">
        <f t="shared" si="4"/>
        <v>110504.02000000002</v>
      </c>
      <c r="K27" s="278">
        <f t="shared" si="4"/>
        <v>0</v>
      </c>
      <c r="L27" s="278">
        <f t="shared" si="4"/>
        <v>0</v>
      </c>
      <c r="M27" s="278">
        <f t="shared" si="4"/>
        <v>0</v>
      </c>
      <c r="N27" s="278">
        <f t="shared" si="4"/>
        <v>0</v>
      </c>
      <c r="O27" s="278">
        <f>SUM(C27:N27)</f>
        <v>748772.95000000007</v>
      </c>
      <c r="P27" s="289">
        <f t="shared" si="0"/>
        <v>1.2076400865126036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7" zoomScale="166" zoomScaleNormal="166" workbookViewId="0">
      <selection activeCell="J25" sqref="J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27/05/63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1040</v>
      </c>
      <c r="E5" s="36">
        <f>1320+570</f>
        <v>1890</v>
      </c>
      <c r="F5" s="36">
        <v>3300</v>
      </c>
      <c r="G5" s="36">
        <v>0</v>
      </c>
      <c r="H5" s="36">
        <f>3120</f>
        <v>3120</v>
      </c>
      <c r="I5" s="36">
        <v>0</v>
      </c>
      <c r="J5" s="36">
        <v>1560</v>
      </c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1560</v>
      </c>
      <c r="E6" s="36">
        <v>0</v>
      </c>
      <c r="F6" s="36">
        <v>0</v>
      </c>
      <c r="G6" s="36">
        <f>1560+190</f>
        <v>1750</v>
      </c>
      <c r="H6" s="36">
        <v>0</v>
      </c>
      <c r="I6" s="36">
        <v>1040</v>
      </c>
      <c r="J6" s="36">
        <v>780</v>
      </c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780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1300</v>
      </c>
      <c r="F8" s="36">
        <v>0</v>
      </c>
      <c r="G8" s="36">
        <v>0</v>
      </c>
      <c r="H8" s="36">
        <v>1560</v>
      </c>
      <c r="I8" s="36">
        <v>0</v>
      </c>
      <c r="J8" s="36">
        <v>0</v>
      </c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1100</v>
      </c>
      <c r="I10" s="36">
        <v>0</v>
      </c>
      <c r="J10" s="36">
        <v>0</v>
      </c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500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1040</v>
      </c>
      <c r="F12" s="36">
        <v>1300</v>
      </c>
      <c r="G12" s="36">
        <v>0</v>
      </c>
      <c r="H12" s="36">
        <v>2600</v>
      </c>
      <c r="I12" s="36">
        <v>0</v>
      </c>
      <c r="J12" s="36">
        <v>780</v>
      </c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440</v>
      </c>
      <c r="I14" s="36">
        <v>0</v>
      </c>
      <c r="J14" s="36">
        <v>0</v>
      </c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6" t="s">
        <v>8</v>
      </c>
      <c r="C15" s="36">
        <v>500</v>
      </c>
      <c r="D15" s="36">
        <v>0</v>
      </c>
      <c r="E15" s="36">
        <v>0</v>
      </c>
      <c r="F15" s="36">
        <v>0</v>
      </c>
      <c r="G15" s="36">
        <v>500</v>
      </c>
      <c r="H15" s="36">
        <v>0</v>
      </c>
      <c r="I15" s="36">
        <v>480</v>
      </c>
      <c r="J15" s="36">
        <v>0</v>
      </c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500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10400</v>
      </c>
      <c r="J17" s="36">
        <v>0</v>
      </c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500</v>
      </c>
      <c r="F18" s="36">
        <v>0</v>
      </c>
      <c r="G18" s="36">
        <v>0</v>
      </c>
      <c r="H18" s="36">
        <v>0</v>
      </c>
      <c r="I18" s="36">
        <v>0</v>
      </c>
      <c r="J18" s="36">
        <v>450</v>
      </c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500</v>
      </c>
      <c r="E19" s="36">
        <v>0</v>
      </c>
      <c r="F19" s="36">
        <v>0</v>
      </c>
      <c r="G19" s="36">
        <v>0</v>
      </c>
      <c r="H19" s="36">
        <v>500</v>
      </c>
      <c r="I19" s="36">
        <v>500</v>
      </c>
      <c r="J19" s="36">
        <v>0</v>
      </c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1425</v>
      </c>
      <c r="I21" s="36">
        <v>0</v>
      </c>
      <c r="J21" s="36">
        <v>0</v>
      </c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66"/>
      <c r="P22" s="286" t="e">
        <f t="shared" si="0"/>
        <v>#DIV/0!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C15+C6</f>
        <v>2060</v>
      </c>
      <c r="D23" s="42">
        <f>D21+D22+D20+D19+D18+D17+D16+D15+D14+D13+D12+D11+D10+D9+D8+D7+D6+D5</f>
        <v>4380</v>
      </c>
      <c r="E23" s="42">
        <f>E18+E12+E8+E5</f>
        <v>4730</v>
      </c>
      <c r="F23" s="42">
        <f>F12+F5+F11</f>
        <v>5100</v>
      </c>
      <c r="G23" s="42">
        <f>G15+G6</f>
        <v>2250</v>
      </c>
      <c r="H23" s="42">
        <f>H5+H6+H7+H8+H9+H10+H11+H12+H13+H14+H15+H16+H17+H18+H19+H20+H21+H22</f>
        <v>10745</v>
      </c>
      <c r="I23" s="42">
        <f>I5+I6+I7+I8+I9+I10+I11+I12+I13+I14+I15+I16+I17+I18+I19+I20+I21+I22</f>
        <v>12420</v>
      </c>
      <c r="J23" s="42">
        <f>J5+J6+J7+J8+J9+J10+J11+J12+J13+J14+J15+J16+J17+J18+J19+J20+J21</f>
        <v>3570</v>
      </c>
      <c r="K23" s="42"/>
      <c r="L23" s="42"/>
      <c r="M23" s="42"/>
      <c r="N23" s="42"/>
      <c r="O23" s="42"/>
      <c r="P23" s="287" t="e">
        <f t="shared" si="0"/>
        <v>#DIV/0!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11000</v>
      </c>
      <c r="E24" s="36">
        <v>0</v>
      </c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/>
      <c r="M24" s="36"/>
      <c r="N24" s="36"/>
      <c r="O24" s="266"/>
      <c r="P24" s="286" t="e">
        <f t="shared" si="0"/>
        <v>#DIV/0!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 t="e">
        <f t="shared" si="0"/>
        <v>#DIV/0!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1">SUM(D24:D25)</f>
        <v>11000</v>
      </c>
      <c r="E26" s="41">
        <f t="shared" si="1"/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272">
        <f t="shared" ref="O26" si="2">SUM(C26:N26)</f>
        <v>11000</v>
      </c>
      <c r="P26" s="288" t="e">
        <f t="shared" si="0"/>
        <v>#DIV/0!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2060</v>
      </c>
      <c r="D27" s="278">
        <f t="shared" ref="D27:N27" si="3">+D23+D26</f>
        <v>15380</v>
      </c>
      <c r="E27" s="278">
        <f t="shared" si="3"/>
        <v>4730</v>
      </c>
      <c r="F27" s="278">
        <f t="shared" si="3"/>
        <v>5100</v>
      </c>
      <c r="G27" s="278">
        <f t="shared" si="3"/>
        <v>2250</v>
      </c>
      <c r="H27" s="278">
        <f t="shared" si="3"/>
        <v>10745</v>
      </c>
      <c r="I27" s="278">
        <f t="shared" si="3"/>
        <v>12420</v>
      </c>
      <c r="J27" s="278">
        <f t="shared" si="3"/>
        <v>3570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56255</v>
      </c>
      <c r="P27" s="289" t="e">
        <f t="shared" si="0"/>
        <v>#DIV/0!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5" zoomScale="160" zoomScaleNormal="160" workbookViewId="0">
      <selection activeCell="J24" sqref="J24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27/05/63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350</v>
      </c>
      <c r="E5" s="36">
        <f>1100+550+700</f>
        <v>2350</v>
      </c>
      <c r="F5" s="36">
        <f>1100+440+440+330</f>
        <v>2310</v>
      </c>
      <c r="G5" s="36">
        <v>0</v>
      </c>
      <c r="H5" s="36">
        <v>280</v>
      </c>
      <c r="I5" s="36">
        <f>440+440+440+550</f>
        <v>1870</v>
      </c>
      <c r="J5" s="36">
        <f>345+550</f>
        <v>895</v>
      </c>
      <c r="K5" s="36"/>
      <c r="L5" s="36"/>
      <c r="M5" s="36"/>
      <c r="N5" s="36"/>
      <c r="O5" s="266">
        <f>SUM(C5:N5)</f>
        <v>8055</v>
      </c>
      <c r="P5" s="286">
        <f t="shared" ref="P5:P27" si="0">O5/$O$23</f>
        <v>0.10801848504041205</v>
      </c>
    </row>
    <row r="6" spans="1:17" ht="17.25" customHeight="1" x14ac:dyDescent="0.2">
      <c r="A6" s="25">
        <v>2</v>
      </c>
      <c r="B6" s="26" t="s">
        <v>19</v>
      </c>
      <c r="C6" s="36">
        <v>1100</v>
      </c>
      <c r="D6" s="36">
        <v>1384</v>
      </c>
      <c r="E6" s="36">
        <v>0</v>
      </c>
      <c r="F6" s="36">
        <f>1100+550</f>
        <v>1650</v>
      </c>
      <c r="G6" s="36">
        <v>1100</v>
      </c>
      <c r="H6" s="36">
        <v>0</v>
      </c>
      <c r="I6" s="36">
        <v>1214</v>
      </c>
      <c r="J6" s="36">
        <v>0</v>
      </c>
      <c r="K6" s="36"/>
      <c r="L6" s="36"/>
      <c r="M6" s="36"/>
      <c r="N6" s="36"/>
      <c r="O6" s="266">
        <f t="shared" ref="O6:O22" si="1">SUM(C6:N6)</f>
        <v>6448</v>
      </c>
      <c r="P6" s="286">
        <f t="shared" si="0"/>
        <v>8.646842849665759E-2</v>
      </c>
    </row>
    <row r="7" spans="1:17" ht="17.25" customHeight="1" x14ac:dyDescent="0.2">
      <c r="A7" s="25">
        <v>3</v>
      </c>
      <c r="B7" s="26" t="s">
        <v>20</v>
      </c>
      <c r="C7" s="36">
        <f>110+440+440+550</f>
        <v>1540</v>
      </c>
      <c r="D7" s="36">
        <v>0</v>
      </c>
      <c r="E7" s="36">
        <v>0</v>
      </c>
      <c r="F7" s="36">
        <v>1050</v>
      </c>
      <c r="G7" s="36">
        <v>0</v>
      </c>
      <c r="H7" s="36">
        <f>660+550+330</f>
        <v>1540</v>
      </c>
      <c r="I7" s="36">
        <v>0</v>
      </c>
      <c r="J7" s="36">
        <v>1100</v>
      </c>
      <c r="K7" s="36"/>
      <c r="L7" s="36"/>
      <c r="M7" s="36"/>
      <c r="N7" s="36"/>
      <c r="O7" s="266">
        <f t="shared" si="1"/>
        <v>5230</v>
      </c>
      <c r="P7" s="286">
        <f t="shared" si="0"/>
        <v>7.0134907108796399E-2</v>
      </c>
    </row>
    <row r="8" spans="1:17" ht="17.25" customHeight="1" x14ac:dyDescent="0.2">
      <c r="A8" s="25">
        <v>4</v>
      </c>
      <c r="B8" s="26" t="s">
        <v>21</v>
      </c>
      <c r="C8" s="36">
        <v>1100</v>
      </c>
      <c r="D8" s="36">
        <v>322.67</v>
      </c>
      <c r="E8" s="36">
        <f>550+550+550+330</f>
        <v>1980</v>
      </c>
      <c r="F8" s="36">
        <v>0</v>
      </c>
      <c r="G8" s="36">
        <v>0</v>
      </c>
      <c r="H8" s="36">
        <v>0</v>
      </c>
      <c r="I8" s="36">
        <v>0</v>
      </c>
      <c r="J8" s="36">
        <f>700+337.05</f>
        <v>1037.05</v>
      </c>
      <c r="K8" s="36"/>
      <c r="L8" s="36"/>
      <c r="M8" s="36"/>
      <c r="N8" s="36"/>
      <c r="O8" s="266">
        <f t="shared" si="1"/>
        <v>4439.72</v>
      </c>
      <c r="P8" s="286">
        <f t="shared" si="0"/>
        <v>5.953716057152305E-2</v>
      </c>
    </row>
    <row r="9" spans="1:17" ht="17.25" customHeight="1" x14ac:dyDescent="0.2">
      <c r="A9" s="25">
        <v>5</v>
      </c>
      <c r="B9" s="26" t="s">
        <v>2</v>
      </c>
      <c r="C9" s="36">
        <f>-330+550+1050+175</f>
        <v>1445</v>
      </c>
      <c r="D9" s="36">
        <v>0</v>
      </c>
      <c r="E9" s="36">
        <v>600</v>
      </c>
      <c r="F9" s="36">
        <f>1750+550</f>
        <v>2300</v>
      </c>
      <c r="G9" s="36">
        <v>0</v>
      </c>
      <c r="H9" s="36">
        <v>0</v>
      </c>
      <c r="I9" s="36">
        <f>330+330+500</f>
        <v>1160</v>
      </c>
      <c r="J9" s="36">
        <v>0</v>
      </c>
      <c r="K9" s="36"/>
      <c r="L9" s="36"/>
      <c r="M9" s="36"/>
      <c r="N9" s="36"/>
      <c r="O9" s="266">
        <f t="shared" si="1"/>
        <v>5505</v>
      </c>
      <c r="P9" s="286">
        <f t="shared" si="0"/>
        <v>7.382268903134305E-2</v>
      </c>
    </row>
    <row r="10" spans="1:17" ht="17.25" customHeight="1" x14ac:dyDescent="0.2">
      <c r="A10" s="25">
        <v>6</v>
      </c>
      <c r="B10" s="26" t="s">
        <v>3</v>
      </c>
      <c r="C10" s="36">
        <v>556</v>
      </c>
      <c r="D10" s="36">
        <v>0</v>
      </c>
      <c r="E10" s="36">
        <v>550</v>
      </c>
      <c r="F10" s="36">
        <v>0</v>
      </c>
      <c r="G10" s="36">
        <v>0</v>
      </c>
      <c r="H10" s="36">
        <v>0</v>
      </c>
      <c r="I10" s="36">
        <v>330</v>
      </c>
      <c r="J10" s="36">
        <v>0</v>
      </c>
      <c r="K10" s="36"/>
      <c r="L10" s="36"/>
      <c r="M10" s="36"/>
      <c r="N10" s="36"/>
      <c r="O10" s="266">
        <f t="shared" si="1"/>
        <v>1436</v>
      </c>
      <c r="P10" s="286">
        <f t="shared" si="0"/>
        <v>1.9256926693734536E-2</v>
      </c>
    </row>
    <row r="11" spans="1:17" ht="17.25" customHeight="1" x14ac:dyDescent="0.2">
      <c r="A11" s="25">
        <v>7</v>
      </c>
      <c r="B11" s="26" t="s">
        <v>4</v>
      </c>
      <c r="C11" s="36">
        <f>224+330+220</f>
        <v>774</v>
      </c>
      <c r="D11" s="36">
        <v>0</v>
      </c>
      <c r="E11" s="36">
        <f>224+330+1050</f>
        <v>1604</v>
      </c>
      <c r="F11" s="36">
        <f>224+550+700</f>
        <v>1474</v>
      </c>
      <c r="G11" s="36">
        <f>525+224+220</f>
        <v>969</v>
      </c>
      <c r="H11" s="36">
        <v>315</v>
      </c>
      <c r="I11" s="36">
        <v>0</v>
      </c>
      <c r="J11" s="36">
        <v>700</v>
      </c>
      <c r="K11" s="36"/>
      <c r="L11" s="36"/>
      <c r="M11" s="36"/>
      <c r="N11" s="36"/>
      <c r="O11" s="266">
        <f t="shared" si="1"/>
        <v>5836</v>
      </c>
      <c r="P11" s="286">
        <f t="shared" si="0"/>
        <v>7.8261437454481025E-2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1210+1050</f>
        <v>2260</v>
      </c>
      <c r="E12" s="36">
        <v>0</v>
      </c>
      <c r="F12" s="36">
        <v>330</v>
      </c>
      <c r="G12" s="36">
        <f>220+700+550+550</f>
        <v>2020</v>
      </c>
      <c r="H12" s="36">
        <v>550</v>
      </c>
      <c r="I12" s="36">
        <v>0</v>
      </c>
      <c r="J12" s="36">
        <f>112+115+330</f>
        <v>557</v>
      </c>
      <c r="K12" s="36"/>
      <c r="L12" s="36"/>
      <c r="M12" s="36"/>
      <c r="N12" s="36"/>
      <c r="O12" s="266">
        <f t="shared" si="1"/>
        <v>5717</v>
      </c>
      <c r="P12" s="286">
        <f t="shared" si="0"/>
        <v>7.666563364072447E-2</v>
      </c>
    </row>
    <row r="13" spans="1:17" ht="17.25" customHeight="1" x14ac:dyDescent="0.2">
      <c r="A13" s="25">
        <v>10</v>
      </c>
      <c r="B13" s="26" t="s">
        <v>6</v>
      </c>
      <c r="C13" s="36">
        <v>1400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66">
        <f t="shared" si="1"/>
        <v>1400</v>
      </c>
      <c r="P13" s="286">
        <f t="shared" si="0"/>
        <v>1.8774162514782974E-2</v>
      </c>
    </row>
    <row r="14" spans="1:17" ht="17.25" customHeight="1" x14ac:dyDescent="0.2">
      <c r="A14" s="25">
        <v>11</v>
      </c>
      <c r="B14" s="26" t="s">
        <v>7</v>
      </c>
      <c r="C14" s="36">
        <v>550</v>
      </c>
      <c r="D14" s="36">
        <v>0</v>
      </c>
      <c r="E14" s="36">
        <v>0</v>
      </c>
      <c r="F14" s="36">
        <v>0</v>
      </c>
      <c r="G14" s="36">
        <v>700</v>
      </c>
      <c r="H14" s="36">
        <v>440</v>
      </c>
      <c r="I14" s="36">
        <v>0</v>
      </c>
      <c r="J14" s="36">
        <v>700</v>
      </c>
      <c r="K14" s="36"/>
      <c r="L14" s="36"/>
      <c r="M14" s="36"/>
      <c r="N14" s="36"/>
      <c r="O14" s="266">
        <f t="shared" si="1"/>
        <v>2390</v>
      </c>
      <c r="P14" s="286">
        <f t="shared" si="0"/>
        <v>3.2050177435950934E-2</v>
      </c>
    </row>
    <row r="15" spans="1:17" ht="17.25" customHeight="1" x14ac:dyDescent="0.2">
      <c r="A15" s="25">
        <v>12</v>
      </c>
      <c r="B15" s="26" t="s">
        <v>8</v>
      </c>
      <c r="C15" s="36">
        <f>550+330+650</f>
        <v>1530</v>
      </c>
      <c r="D15" s="36">
        <v>0</v>
      </c>
      <c r="E15" s="36">
        <v>0</v>
      </c>
      <c r="F15" s="36">
        <f>550+350+550+700</f>
        <v>2150</v>
      </c>
      <c r="G15" s="36">
        <v>0</v>
      </c>
      <c r="H15" s="36">
        <v>560</v>
      </c>
      <c r="I15" s="36">
        <f>220+110+350+550+700</f>
        <v>1930</v>
      </c>
      <c r="J15" s="36">
        <v>220</v>
      </c>
      <c r="K15" s="36"/>
      <c r="L15" s="36"/>
      <c r="M15" s="36"/>
      <c r="N15" s="36"/>
      <c r="O15" s="266">
        <f t="shared" si="1"/>
        <v>6390</v>
      </c>
      <c r="P15" s="286">
        <f t="shared" si="0"/>
        <v>8.5690641763902287E-2</v>
      </c>
    </row>
    <row r="16" spans="1:17" ht="17.25" customHeight="1" x14ac:dyDescent="0.2">
      <c r="A16" s="25">
        <v>13</v>
      </c>
      <c r="B16" s="26" t="s">
        <v>9</v>
      </c>
      <c r="C16" s="36">
        <f>350+325</f>
        <v>675</v>
      </c>
      <c r="D16" s="36">
        <f>550+650</f>
        <v>1200</v>
      </c>
      <c r="E16" s="36">
        <v>0</v>
      </c>
      <c r="F16" s="36">
        <v>0</v>
      </c>
      <c r="G16" s="36">
        <f>440+350+310+224</f>
        <v>1324</v>
      </c>
      <c r="H16" s="36">
        <v>220</v>
      </c>
      <c r="I16" s="36">
        <v>0</v>
      </c>
      <c r="J16" s="36">
        <v>0</v>
      </c>
      <c r="K16" s="36"/>
      <c r="L16" s="36"/>
      <c r="M16" s="36"/>
      <c r="N16" s="36"/>
      <c r="O16" s="266">
        <f t="shared" si="1"/>
        <v>3419</v>
      </c>
      <c r="P16" s="286">
        <f t="shared" si="0"/>
        <v>4.5849186884316426E-2</v>
      </c>
    </row>
    <row r="17" spans="1:17" ht="17.25" customHeight="1" x14ac:dyDescent="0.2">
      <c r="A17" s="25">
        <v>14</v>
      </c>
      <c r="B17" s="26" t="s">
        <v>10</v>
      </c>
      <c r="C17" s="36">
        <f>110+1300</f>
        <v>1410</v>
      </c>
      <c r="D17" s="36">
        <f>112+161.33+85.6+74.9</f>
        <v>433.83000000000004</v>
      </c>
      <c r="E17" s="36">
        <v>0</v>
      </c>
      <c r="F17" s="36">
        <v>700</v>
      </c>
      <c r="G17" s="36">
        <v>0</v>
      </c>
      <c r="H17" s="36">
        <v>0</v>
      </c>
      <c r="I17" s="36">
        <f>330+110+110</f>
        <v>550</v>
      </c>
      <c r="J17" s="36">
        <f>350+325</f>
        <v>675</v>
      </c>
      <c r="K17" s="36"/>
      <c r="L17" s="36"/>
      <c r="M17" s="36"/>
      <c r="N17" s="36"/>
      <c r="O17" s="266">
        <f t="shared" si="1"/>
        <v>3768.83</v>
      </c>
      <c r="P17" s="286">
        <f t="shared" si="0"/>
        <v>5.054044779327823E-2</v>
      </c>
    </row>
    <row r="18" spans="1:17" ht="17.25" customHeight="1" x14ac:dyDescent="0.2">
      <c r="A18" s="25">
        <v>15</v>
      </c>
      <c r="B18" s="26" t="s">
        <v>11</v>
      </c>
      <c r="C18" s="36">
        <v>220</v>
      </c>
      <c r="D18" s="36">
        <v>1050</v>
      </c>
      <c r="E18" s="36">
        <f>175+224</f>
        <v>399</v>
      </c>
      <c r="F18" s="36">
        <v>0</v>
      </c>
      <c r="G18" s="36">
        <v>110</v>
      </c>
      <c r="H18" s="36">
        <v>0</v>
      </c>
      <c r="I18" s="36">
        <v>700</v>
      </c>
      <c r="J18" s="36">
        <f>330+325</f>
        <v>655</v>
      </c>
      <c r="K18" s="36"/>
      <c r="L18" s="36"/>
      <c r="M18" s="36"/>
      <c r="N18" s="36"/>
      <c r="O18" s="266">
        <f t="shared" si="1"/>
        <v>3134</v>
      </c>
      <c r="P18" s="286">
        <f t="shared" si="0"/>
        <v>4.2027303800949885E-2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f>440+1400+440</f>
        <v>2280</v>
      </c>
      <c r="G19" s="36">
        <f>700</f>
        <v>700</v>
      </c>
      <c r="H19" s="36">
        <v>0</v>
      </c>
      <c r="I19" s="36">
        <v>220</v>
      </c>
      <c r="J19" s="36">
        <v>800.02</v>
      </c>
      <c r="K19" s="36"/>
      <c r="L19" s="36"/>
      <c r="M19" s="36"/>
      <c r="N19" s="36"/>
      <c r="O19" s="266">
        <f t="shared" si="1"/>
        <v>4000.02</v>
      </c>
      <c r="P19" s="286">
        <f t="shared" si="0"/>
        <v>5.3640732530272996E-2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1050</v>
      </c>
      <c r="G20" s="36">
        <v>0</v>
      </c>
      <c r="H20" s="36">
        <v>0</v>
      </c>
      <c r="I20" s="36">
        <f>175+220</f>
        <v>395</v>
      </c>
      <c r="J20" s="36">
        <f>115+700</f>
        <v>815</v>
      </c>
      <c r="K20" s="36"/>
      <c r="L20" s="36"/>
      <c r="M20" s="36"/>
      <c r="N20" s="36"/>
      <c r="O20" s="266">
        <f t="shared" si="1"/>
        <v>2260</v>
      </c>
      <c r="P20" s="286">
        <f t="shared" si="0"/>
        <v>3.0306862345292517E-2</v>
      </c>
    </row>
    <row r="21" spans="1:17" ht="17.25" customHeight="1" x14ac:dyDescent="0.2">
      <c r="A21" s="25">
        <v>18</v>
      </c>
      <c r="B21" s="26" t="s">
        <v>14</v>
      </c>
      <c r="C21" s="36">
        <v>1550</v>
      </c>
      <c r="D21" s="36">
        <v>0</v>
      </c>
      <c r="E21" s="36">
        <v>0</v>
      </c>
      <c r="F21" s="36">
        <v>0</v>
      </c>
      <c r="G21" s="36">
        <f>1050</f>
        <v>1050</v>
      </c>
      <c r="H21" s="36">
        <v>0</v>
      </c>
      <c r="I21" s="36">
        <v>600</v>
      </c>
      <c r="J21" s="36">
        <v>440</v>
      </c>
      <c r="K21" s="36"/>
      <c r="L21" s="36"/>
      <c r="M21" s="36"/>
      <c r="N21" s="36"/>
      <c r="O21" s="266">
        <f t="shared" si="1"/>
        <v>3640</v>
      </c>
      <c r="P21" s="286">
        <f t="shared" si="0"/>
        <v>4.8812822538435732E-2</v>
      </c>
    </row>
    <row r="22" spans="1:17" ht="17.25" customHeight="1" x14ac:dyDescent="0.2">
      <c r="A22" s="25">
        <v>19</v>
      </c>
      <c r="B22" s="26" t="s">
        <v>15</v>
      </c>
      <c r="C22" s="36">
        <v>840</v>
      </c>
      <c r="D22" s="36">
        <v>220</v>
      </c>
      <c r="E22" s="36">
        <v>0</v>
      </c>
      <c r="F22" s="36">
        <v>0</v>
      </c>
      <c r="G22" s="36">
        <v>420</v>
      </c>
      <c r="H22" s="36">
        <v>110</v>
      </c>
      <c r="I22" s="36">
        <f>110+420</f>
        <v>530</v>
      </c>
      <c r="J22" s="36">
        <f>112+110</f>
        <v>222</v>
      </c>
      <c r="K22" s="36"/>
      <c r="L22" s="36"/>
      <c r="M22" s="36"/>
      <c r="N22" s="36"/>
      <c r="O22" s="266">
        <f t="shared" si="1"/>
        <v>2342</v>
      </c>
      <c r="P22" s="286">
        <f t="shared" si="0"/>
        <v>3.1406491864015521E-2</v>
      </c>
    </row>
    <row r="23" spans="1:17" s="48" customFormat="1" ht="17.25" customHeight="1" x14ac:dyDescent="0.2">
      <c r="A23" s="45">
        <v>5.486111111111111E-2</v>
      </c>
      <c r="B23" s="153" t="s">
        <v>22</v>
      </c>
      <c r="C23" s="42">
        <f>C6+C7+C8+C9+C10+C11+C12+C13+C14+C15+C16+C17+C18+C21+C5</f>
        <v>13850</v>
      </c>
      <c r="D23" s="358">
        <f>D22+D21+D20+D19+D18+D17+D16+D15+D14+D13+D12+D11+D10+D9+D8+D7+D6+D5</f>
        <v>7220.5</v>
      </c>
      <c r="E23" s="42">
        <f>E18+E11+E10+E9+E8+E5</f>
        <v>7483</v>
      </c>
      <c r="F23" s="42">
        <f>F20+F19+F17+F15+F12+F11+F9+F7+F6+F5</f>
        <v>15294</v>
      </c>
      <c r="G23" s="42">
        <f>G22+G21+G20+G19+G18+G17+G16+G15+G14+G13+G12+G11+G10+G9+G8+G7+G6+G5</f>
        <v>8393</v>
      </c>
      <c r="H23" s="42">
        <f>H5+H6+H7+H8+H9+H10+H11+H12+H13+H14+H15+H16+H17+H18+H19+H20+H21+H22</f>
        <v>4015</v>
      </c>
      <c r="I23" s="42">
        <f>I5+I6+I7+I8+I9+I10+I11+I12+I13+I14+I15+I16+I17+I18+I19+I20+I21+I22</f>
        <v>9499</v>
      </c>
      <c r="J23" s="42">
        <f>J5+J6+J7+J8+J9+J10+J11+J12+J13+J14+J15+J16+J17+J18+J19+J20+J21+J22</f>
        <v>8816.07</v>
      </c>
      <c r="K23" s="42"/>
      <c r="L23" s="42"/>
      <c r="M23" s="42"/>
      <c r="N23" s="42"/>
      <c r="O23" s="53">
        <f>SUM(C23:N23)</f>
        <v>74570.570000000007</v>
      </c>
      <c r="P23" s="287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1100+880</f>
        <v>1980</v>
      </c>
      <c r="F24" s="36">
        <f>1120+560+550</f>
        <v>2230</v>
      </c>
      <c r="G24" s="36">
        <v>0</v>
      </c>
      <c r="H24" s="36">
        <f>1100+330</f>
        <v>1430</v>
      </c>
      <c r="I24" s="36">
        <v>550</v>
      </c>
      <c r="J24" s="36">
        <f>550+1100+1100</f>
        <v>2750</v>
      </c>
      <c r="K24" s="36"/>
      <c r="L24" s="36"/>
      <c r="M24" s="36"/>
      <c r="N24" s="36"/>
      <c r="O24" s="267">
        <f t="shared" ref="O24:O26" si="2">SUM(C24:N24)</f>
        <v>8940</v>
      </c>
      <c r="P24" s="286">
        <f t="shared" si="0"/>
        <v>0.11988643777297128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7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1980</v>
      </c>
      <c r="F26" s="41">
        <f t="shared" si="3"/>
        <v>2230</v>
      </c>
      <c r="G26" s="41">
        <f t="shared" si="3"/>
        <v>0</v>
      </c>
      <c r="H26" s="41">
        <f t="shared" si="3"/>
        <v>1430</v>
      </c>
      <c r="I26" s="41">
        <f t="shared" si="3"/>
        <v>550</v>
      </c>
      <c r="J26" s="41">
        <f t="shared" si="3"/>
        <v>2750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2">
        <f t="shared" si="2"/>
        <v>8940</v>
      </c>
      <c r="P26" s="288">
        <f t="shared" si="0"/>
        <v>0.11988643777297128</v>
      </c>
    </row>
    <row r="27" spans="1:17" s="55" customFormat="1" ht="17.25" customHeight="1" x14ac:dyDescent="0.2">
      <c r="A27" s="202" t="s">
        <v>26</v>
      </c>
      <c r="B27" s="207" t="s">
        <v>25</v>
      </c>
      <c r="C27" s="278">
        <f>+C23+C26</f>
        <v>13850</v>
      </c>
      <c r="D27" s="278">
        <f t="shared" ref="D27:N27" si="4">+D23+D26</f>
        <v>7220.5</v>
      </c>
      <c r="E27" s="278">
        <f t="shared" si="4"/>
        <v>9463</v>
      </c>
      <c r="F27" s="278">
        <f t="shared" si="4"/>
        <v>17524</v>
      </c>
      <c r="G27" s="278">
        <f t="shared" si="4"/>
        <v>8393</v>
      </c>
      <c r="H27" s="278">
        <f t="shared" si="4"/>
        <v>5445</v>
      </c>
      <c r="I27" s="278">
        <f t="shared" si="4"/>
        <v>10049</v>
      </c>
      <c r="J27" s="278">
        <f t="shared" si="4"/>
        <v>11566.07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8">
        <f>SUM(C27:N27)</f>
        <v>83510.570000000007</v>
      </c>
      <c r="P27" s="289">
        <f t="shared" si="0"/>
        <v>1.1198864377729714</v>
      </c>
    </row>
    <row r="28" spans="1:17" s="114" customFormat="1" ht="18" customHeight="1" x14ac:dyDescent="0.45">
      <c r="A28" s="62"/>
      <c r="B28" s="193"/>
      <c r="O28" s="166"/>
      <c r="P28" s="296"/>
    </row>
    <row r="29" spans="1:17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7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7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7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  <c r="Q32" s="114">
        <v>0</v>
      </c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6" zoomScale="172" zoomScaleNormal="172" workbookViewId="0">
      <selection activeCell="J25" sqref="J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01" customFormat="1" ht="17.25" customHeight="1" x14ac:dyDescent="0.2">
      <c r="A2" s="247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1"/>
      <c r="F2" s="241"/>
      <c r="G2" s="241"/>
      <c r="I2" s="241"/>
      <c r="J2" s="241"/>
      <c r="K2" s="241"/>
      <c r="M2" s="242"/>
      <c r="N2" s="243" t="str">
        <f>'2.รวมวชย ทุกประเภท'!N2</f>
        <v>รายงานข้อมูลณ วันที่ 27/05/63</v>
      </c>
      <c r="O2" s="164"/>
      <c r="P2" s="290"/>
      <c r="Q2" s="248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1260</v>
      </c>
      <c r="D5" s="36">
        <v>3780</v>
      </c>
      <c r="E5" s="36">
        <v>190</v>
      </c>
      <c r="F5" s="36">
        <v>2520</v>
      </c>
      <c r="G5" s="36">
        <f>1800+395.9</f>
        <v>2195.9</v>
      </c>
      <c r="H5" s="36">
        <v>1800</v>
      </c>
      <c r="I5" s="36">
        <v>0</v>
      </c>
      <c r="J5" s="36">
        <v>190</v>
      </c>
      <c r="K5" s="36"/>
      <c r="L5" s="36"/>
      <c r="M5" s="36"/>
      <c r="N5" s="36"/>
      <c r="O5" s="266">
        <f>SUM(C5:N5)</f>
        <v>11935.9</v>
      </c>
      <c r="P5" s="286">
        <f t="shared" ref="P5:P27" si="0">O5/$O$23</f>
        <v>0.14020164256715398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2520</v>
      </c>
      <c r="E6" s="36">
        <v>0</v>
      </c>
      <c r="F6" s="36">
        <v>76</v>
      </c>
      <c r="G6" s="36">
        <v>237.54</v>
      </c>
      <c r="H6" s="36">
        <v>158.36000000000001</v>
      </c>
      <c r="I6" s="36">
        <v>0</v>
      </c>
      <c r="J6" s="36">
        <v>0</v>
      </c>
      <c r="K6" s="36"/>
      <c r="L6" s="36"/>
      <c r="M6" s="36"/>
      <c r="N6" s="36"/>
      <c r="O6" s="266">
        <f t="shared" ref="O6:O22" si="1">SUM(C6:N6)</f>
        <v>2991.9</v>
      </c>
      <c r="P6" s="286">
        <f t="shared" si="0"/>
        <v>3.5143499392309589E-2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158.36000000000001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66">
        <f t="shared" si="1"/>
        <v>158.36000000000001</v>
      </c>
      <c r="P7" s="286">
        <f t="shared" si="0"/>
        <v>1.860130540381078E-3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395.9</v>
      </c>
      <c r="E8" s="36">
        <v>0</v>
      </c>
      <c r="F8" s="36">
        <v>0</v>
      </c>
      <c r="G8" s="36">
        <v>0</v>
      </c>
      <c r="H8" s="36">
        <v>0</v>
      </c>
      <c r="I8" s="36">
        <f>5040+200</f>
        <v>5240</v>
      </c>
      <c r="J8" s="36">
        <v>0</v>
      </c>
      <c r="K8" s="36"/>
      <c r="L8" s="36"/>
      <c r="M8" s="36"/>
      <c r="N8" s="36"/>
      <c r="O8" s="266">
        <f t="shared" si="1"/>
        <v>5635.9</v>
      </c>
      <c r="P8" s="286">
        <f t="shared" si="0"/>
        <v>6.6200490733352588E-2</v>
      </c>
    </row>
    <row r="9" spans="1:17" ht="17.25" customHeight="1" x14ac:dyDescent="0.2">
      <c r="A9" s="25">
        <v>5</v>
      </c>
      <c r="B9" s="26" t="s">
        <v>2</v>
      </c>
      <c r="C9" s="36">
        <f>2000+1260+504.6</f>
        <v>3764.6</v>
      </c>
      <c r="D9" s="36">
        <v>5040</v>
      </c>
      <c r="E9" s="36">
        <v>0</v>
      </c>
      <c r="F9" s="36">
        <v>0</v>
      </c>
      <c r="G9" s="36">
        <v>75</v>
      </c>
      <c r="H9" s="36">
        <v>158.36000000000001</v>
      </c>
      <c r="I9" s="36">
        <f>100+1260</f>
        <v>1360</v>
      </c>
      <c r="J9" s="36">
        <v>0</v>
      </c>
      <c r="K9" s="36"/>
      <c r="L9" s="36"/>
      <c r="M9" s="36"/>
      <c r="N9" s="36"/>
      <c r="O9" s="266">
        <f t="shared" si="1"/>
        <v>10397.960000000001</v>
      </c>
      <c r="P9" s="286">
        <f t="shared" si="0"/>
        <v>0.12213666932091964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1335</v>
      </c>
      <c r="E10" s="36">
        <v>0</v>
      </c>
      <c r="F10" s="36">
        <v>0</v>
      </c>
      <c r="G10" s="36">
        <v>237.54</v>
      </c>
      <c r="H10" s="36">
        <v>67.5</v>
      </c>
      <c r="I10" s="36">
        <v>0</v>
      </c>
      <c r="J10" s="36">
        <v>0</v>
      </c>
      <c r="K10" s="36"/>
      <c r="L10" s="36"/>
      <c r="M10" s="36"/>
      <c r="N10" s="36"/>
      <c r="O10" s="266">
        <f t="shared" si="1"/>
        <v>1640.04</v>
      </c>
      <c r="P10" s="286">
        <f t="shared" si="0"/>
        <v>1.9264261754525024E-2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f>190+237.54</f>
        <v>427.53999999999996</v>
      </c>
      <c r="F11" s="36">
        <v>0</v>
      </c>
      <c r="G11" s="36">
        <v>0</v>
      </c>
      <c r="H11" s="36">
        <v>0</v>
      </c>
      <c r="I11" s="36">
        <v>1800</v>
      </c>
      <c r="J11" s="36">
        <v>79.180000000000007</v>
      </c>
      <c r="K11" s="36"/>
      <c r="L11" s="36"/>
      <c r="M11" s="36"/>
      <c r="N11" s="36"/>
      <c r="O11" s="266">
        <f t="shared" si="1"/>
        <v>2306.7199999999998</v>
      </c>
      <c r="P11" s="286">
        <f t="shared" si="0"/>
        <v>2.709522808858196E-2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f>316.72+190</f>
        <v>506.72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66">
        <f t="shared" si="1"/>
        <v>506.72</v>
      </c>
      <c r="P12" s="286">
        <f t="shared" si="0"/>
        <v>5.9520418503529919E-3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1512</v>
      </c>
      <c r="H13" s="36">
        <v>1080</v>
      </c>
      <c r="I13" s="36">
        <v>0</v>
      </c>
      <c r="J13" s="36">
        <v>0</v>
      </c>
      <c r="K13" s="36"/>
      <c r="L13" s="36"/>
      <c r="M13" s="36"/>
      <c r="N13" s="36"/>
      <c r="O13" s="266">
        <f t="shared" si="1"/>
        <v>2592</v>
      </c>
      <c r="P13" s="286">
        <f t="shared" si="0"/>
        <v>3.044618818304972E-2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158.36000000000001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66">
        <f t="shared" si="1"/>
        <v>158.36000000000001</v>
      </c>
      <c r="P14" s="286">
        <f t="shared" si="0"/>
        <v>1.860130540381078E-3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2520</v>
      </c>
      <c r="G15" s="36">
        <v>0</v>
      </c>
      <c r="H15" s="36">
        <v>0</v>
      </c>
      <c r="I15" s="36">
        <v>0</v>
      </c>
      <c r="J15" s="36">
        <f>750+220</f>
        <v>970</v>
      </c>
      <c r="K15" s="36"/>
      <c r="L15" s="36"/>
      <c r="M15" s="36"/>
      <c r="N15" s="36"/>
      <c r="O15" s="266">
        <f t="shared" si="1"/>
        <v>3490</v>
      </c>
      <c r="P15" s="286">
        <f t="shared" si="0"/>
        <v>4.0994288873010619E-2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f>75+79.16</f>
        <v>154.16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66">
        <f t="shared" si="1"/>
        <v>154.16</v>
      </c>
      <c r="P16" s="286">
        <f t="shared" si="0"/>
        <v>1.8107964391585434E-3</v>
      </c>
    </row>
    <row r="17" spans="1:16" ht="17.25" customHeight="1" x14ac:dyDescent="0.2">
      <c r="A17" s="25">
        <v>13</v>
      </c>
      <c r="B17" s="26" t="s">
        <v>10</v>
      </c>
      <c r="C17" s="36">
        <v>79.180000000000007</v>
      </c>
      <c r="D17" s="36">
        <v>12600</v>
      </c>
      <c r="E17" s="36">
        <v>190</v>
      </c>
      <c r="F17" s="36">
        <v>0</v>
      </c>
      <c r="G17" s="36">
        <v>237.54</v>
      </c>
      <c r="H17" s="36">
        <v>0</v>
      </c>
      <c r="I17" s="36">
        <v>1800</v>
      </c>
      <c r="J17" s="36">
        <v>7560</v>
      </c>
      <c r="K17" s="36"/>
      <c r="L17" s="36"/>
      <c r="M17" s="36"/>
      <c r="N17" s="36"/>
      <c r="O17" s="266">
        <f t="shared" si="1"/>
        <v>22466.720000000001</v>
      </c>
      <c r="P17" s="286">
        <f t="shared" si="0"/>
        <v>0.26389891395674647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1260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66">
        <f t="shared" si="1"/>
        <v>1260</v>
      </c>
      <c r="P18" s="286">
        <f t="shared" si="0"/>
        <v>1.4800230366760281E-2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79.180000000000007</v>
      </c>
      <c r="E19" s="36">
        <v>0</v>
      </c>
      <c r="F19" s="36">
        <v>0</v>
      </c>
      <c r="G19" s="36">
        <f>1260+1080</f>
        <v>2340</v>
      </c>
      <c r="H19" s="36">
        <v>0</v>
      </c>
      <c r="I19" s="36">
        <v>2520</v>
      </c>
      <c r="J19" s="36">
        <v>0</v>
      </c>
      <c r="K19" s="36"/>
      <c r="L19" s="36"/>
      <c r="M19" s="36"/>
      <c r="N19" s="36"/>
      <c r="O19" s="266">
        <f t="shared" si="1"/>
        <v>4939.18</v>
      </c>
      <c r="P19" s="286">
        <f t="shared" si="0"/>
        <v>5.8016668113408769E-2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2520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79.180000000000007</v>
      </c>
      <c r="K20" s="36"/>
      <c r="L20" s="36"/>
      <c r="M20" s="36"/>
      <c r="N20" s="36"/>
      <c r="O20" s="266">
        <f t="shared" si="1"/>
        <v>2599.1799999999998</v>
      </c>
      <c r="P20" s="286">
        <f t="shared" si="0"/>
        <v>3.05305260037111E-2</v>
      </c>
    </row>
    <row r="21" spans="1:16" ht="17.25" customHeight="1" x14ac:dyDescent="0.2">
      <c r="A21" s="25">
        <v>17</v>
      </c>
      <c r="B21" s="26" t="s">
        <v>14</v>
      </c>
      <c r="C21" s="36">
        <v>2520</v>
      </c>
      <c r="D21" s="36">
        <v>2599.1799999999998</v>
      </c>
      <c r="E21" s="36">
        <v>0</v>
      </c>
      <c r="F21" s="36">
        <v>0</v>
      </c>
      <c r="G21" s="36">
        <f>237.54+75</f>
        <v>312.53999999999996</v>
      </c>
      <c r="H21" s="36">
        <f>1800+1800</f>
        <v>3600</v>
      </c>
      <c r="I21" s="36">
        <v>0</v>
      </c>
      <c r="J21" s="36">
        <v>0</v>
      </c>
      <c r="K21" s="36"/>
      <c r="L21" s="36"/>
      <c r="M21" s="36"/>
      <c r="N21" s="36"/>
      <c r="O21" s="266">
        <f t="shared" si="1"/>
        <v>9031.7200000000012</v>
      </c>
      <c r="P21" s="286">
        <f t="shared" si="0"/>
        <v>0.10608852111752078</v>
      </c>
    </row>
    <row r="22" spans="1:16" ht="17.25" customHeight="1" x14ac:dyDescent="0.2">
      <c r="A22" s="25">
        <v>18</v>
      </c>
      <c r="B22" s="26" t="s">
        <v>15</v>
      </c>
      <c r="C22" s="36">
        <f>2520+79.81</f>
        <v>2599.81</v>
      </c>
      <c r="D22" s="36">
        <v>79.180000000000007</v>
      </c>
      <c r="E22" s="36">
        <v>0</v>
      </c>
      <c r="F22" s="36">
        <v>0</v>
      </c>
      <c r="G22" s="36">
        <v>0</v>
      </c>
      <c r="H22" s="36">
        <v>0</v>
      </c>
      <c r="I22" s="36">
        <v>190</v>
      </c>
      <c r="J22" s="36">
        <v>0</v>
      </c>
      <c r="K22" s="36"/>
      <c r="L22" s="36"/>
      <c r="M22" s="36"/>
      <c r="N22" s="36"/>
      <c r="O22" s="266">
        <f t="shared" si="1"/>
        <v>2868.99</v>
      </c>
      <c r="P22" s="286">
        <f t="shared" si="0"/>
        <v>3.3699772158675853E-2</v>
      </c>
    </row>
    <row r="23" spans="1:16" s="48" customFormat="1" ht="17.25" customHeight="1" x14ac:dyDescent="0.2">
      <c r="A23" s="45">
        <v>5.4166666666666669E-2</v>
      </c>
      <c r="B23" s="153" t="s">
        <v>22</v>
      </c>
      <c r="C23" s="42">
        <f>C22+C21+C17+C9+C5</f>
        <v>10223.59</v>
      </c>
      <c r="D23" s="42">
        <f>D22+D21+D20+D19+D18+D17+D16+D15+D14+D13+D12+D11+D10+D9+D8+D7+D6+D5</f>
        <v>32208.440000000002</v>
      </c>
      <c r="E23" s="42">
        <f>E17+E11+E5</f>
        <v>807.54</v>
      </c>
      <c r="F23" s="42">
        <f>F21+F20+F19+F18+F17+F16+F15+F14+F13+F6+F5</f>
        <v>5116</v>
      </c>
      <c r="G23" s="42">
        <f>G21+G20+G19+G18+G17+G16+G15+G14+G13+G12+G11+G10+G9+G8+G7+G6+G5</f>
        <v>8125.66</v>
      </c>
      <c r="H23" s="42">
        <f>H5+H6+H7+H8+H9+H10+H11+H12+H13+H14+H15+H16+H17+H18+H19+H20+H21+H22</f>
        <v>6864.22</v>
      </c>
      <c r="I23" s="42">
        <f>I5+I6+I7+I8+I9+I10+I11+I12+I13+I14+I15+I16+I17+I18+I19+I20+I21+I22</f>
        <v>12910</v>
      </c>
      <c r="J23" s="42">
        <f>J5+J6+J7+J8+J9+J10+J11+J12+J13+J14+J15+J16+J17+J18+J19+J20+J21+J22</f>
        <v>8878.36</v>
      </c>
      <c r="K23" s="42"/>
      <c r="L23" s="42"/>
      <c r="M23" s="42"/>
      <c r="N23" s="42"/>
      <c r="O23" s="54">
        <f t="shared" ref="O23:O27" si="2">SUM(C23:N23)</f>
        <v>85133.81</v>
      </c>
      <c r="P23" s="287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/>
      <c r="L24" s="36"/>
      <c r="M24" s="36"/>
      <c r="N24" s="36"/>
      <c r="O24" s="267">
        <f t="shared" si="2"/>
        <v>0</v>
      </c>
      <c r="P24" s="286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>
        <f t="shared" si="2"/>
        <v>0</v>
      </c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3">SUM(D24:D25)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>SUM(M24:M25)</f>
        <v>0</v>
      </c>
      <c r="N26" s="41">
        <f t="shared" si="3"/>
        <v>0</v>
      </c>
      <c r="O26" s="272">
        <f t="shared" si="2"/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10223.59</v>
      </c>
      <c r="D27" s="278">
        <f t="shared" ref="D27:N27" si="4">+D23+D26</f>
        <v>32208.440000000002</v>
      </c>
      <c r="E27" s="278">
        <f t="shared" si="4"/>
        <v>807.54</v>
      </c>
      <c r="F27" s="278">
        <f t="shared" si="4"/>
        <v>5116</v>
      </c>
      <c r="G27" s="278">
        <f t="shared" si="4"/>
        <v>8125.66</v>
      </c>
      <c r="H27" s="278">
        <f t="shared" si="4"/>
        <v>6864.22</v>
      </c>
      <c r="I27" s="278">
        <f t="shared" si="4"/>
        <v>12910</v>
      </c>
      <c r="J27" s="278">
        <f t="shared" si="4"/>
        <v>8878.36</v>
      </c>
      <c r="K27" s="278">
        <f t="shared" si="4"/>
        <v>0</v>
      </c>
      <c r="L27" s="278">
        <f t="shared" si="4"/>
        <v>0</v>
      </c>
      <c r="M27" s="278">
        <f>+M23+M26</f>
        <v>0</v>
      </c>
      <c r="N27" s="278">
        <f t="shared" si="4"/>
        <v>0</v>
      </c>
      <c r="O27" s="279">
        <f t="shared" si="2"/>
        <v>85133.81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3" zoomScale="154" zoomScaleNormal="154" workbookViewId="0">
      <selection activeCell="J25" sqref="J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27/05/63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/>
      <c r="L5" s="36"/>
      <c r="M5" s="36"/>
      <c r="N5" s="36"/>
      <c r="O5" s="266">
        <f>SUM(C5:N5)</f>
        <v>0</v>
      </c>
      <c r="P5" s="286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66">
        <f t="shared" ref="O6:O22" si="1">SUM(C6:N6)</f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/>
      <c r="L7" s="36"/>
      <c r="M7" s="36"/>
      <c r="N7" s="36"/>
      <c r="O7" s="266">
        <f t="shared" si="1"/>
        <v>0</v>
      </c>
      <c r="P7" s="286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66">
        <f t="shared" si="1"/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390</v>
      </c>
      <c r="D9" s="36">
        <v>0</v>
      </c>
      <c r="E9" s="36">
        <v>0</v>
      </c>
      <c r="F9" s="36">
        <v>642</v>
      </c>
      <c r="G9" s="36">
        <v>0</v>
      </c>
      <c r="H9" s="36">
        <v>0</v>
      </c>
      <c r="I9" s="36">
        <v>350</v>
      </c>
      <c r="J9" s="36">
        <v>0</v>
      </c>
      <c r="K9" s="36"/>
      <c r="L9" s="36"/>
      <c r="M9" s="36"/>
      <c r="N9" s="36"/>
      <c r="O9" s="266">
        <f t="shared" si="1"/>
        <v>1382</v>
      </c>
      <c r="P9" s="286">
        <f t="shared" si="0"/>
        <v>1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66">
        <f t="shared" si="1"/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66">
        <f t="shared" si="1"/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66">
        <f t="shared" si="1"/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66">
        <f t="shared" si="1"/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66">
        <f t="shared" si="1"/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66">
        <f t="shared" si="1"/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66">
        <f t="shared" si="1"/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66">
        <f t="shared" si="1"/>
        <v>0</v>
      </c>
      <c r="P17" s="286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66">
        <f t="shared" si="1"/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66">
        <f t="shared" si="1"/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66">
        <f t="shared" si="1"/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66">
        <f t="shared" si="1"/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66">
        <f t="shared" si="1"/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C9</f>
        <v>390</v>
      </c>
      <c r="D23" s="42">
        <v>0</v>
      </c>
      <c r="E23" s="42">
        <v>0</v>
      </c>
      <c r="F23" s="42">
        <f>F9</f>
        <v>642</v>
      </c>
      <c r="G23" s="42">
        <v>0</v>
      </c>
      <c r="H23" s="42">
        <v>0</v>
      </c>
      <c r="I23" s="42">
        <v>350</v>
      </c>
      <c r="J23" s="42">
        <v>0</v>
      </c>
      <c r="K23" s="42"/>
      <c r="L23" s="42"/>
      <c r="M23" s="42"/>
      <c r="N23" s="42"/>
      <c r="O23" s="42">
        <f>SUM(O5:O22)</f>
        <v>1382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/>
      <c r="L24" s="36"/>
      <c r="M24" s="36"/>
      <c r="N24" s="36"/>
      <c r="O24" s="266">
        <f>E24+H24</f>
        <v>0</v>
      </c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0</v>
      </c>
      <c r="P26" s="288">
        <f t="shared" si="0"/>
        <v>0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+C23+C26</f>
        <v>390</v>
      </c>
      <c r="D27" s="278">
        <f t="shared" ref="D27:N27" si="3">+D23+D26</f>
        <v>0</v>
      </c>
      <c r="E27" s="278">
        <f t="shared" si="3"/>
        <v>0</v>
      </c>
      <c r="F27" s="278">
        <f t="shared" si="3"/>
        <v>642</v>
      </c>
      <c r="G27" s="278">
        <f t="shared" si="3"/>
        <v>0</v>
      </c>
      <c r="H27" s="278">
        <f t="shared" si="3"/>
        <v>0</v>
      </c>
      <c r="I27" s="278">
        <f t="shared" si="3"/>
        <v>350</v>
      </c>
      <c r="J27" s="278">
        <f t="shared" si="3"/>
        <v>0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SUM(C27:N27)</f>
        <v>1382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="154" zoomScaleNormal="154" workbookViewId="0">
      <selection activeCell="J25" sqref="J25"/>
    </sheetView>
  </sheetViews>
  <sheetFormatPr defaultRowHeight="17.25" customHeight="1" x14ac:dyDescent="0.2"/>
  <cols>
    <col min="1" max="1" width="4.75" style="260" customWidth="1"/>
    <col min="2" max="2" width="15.25" style="127" customWidth="1"/>
    <col min="3" max="14" width="8.375" style="27" customWidth="1"/>
    <col min="15" max="15" width="10" style="293" customWidth="1"/>
    <col min="16" max="16" width="9.625" style="291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1"/>
      <c r="P1" s="290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27/05/63</v>
      </c>
      <c r="O2" s="164"/>
      <c r="P2" s="290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0" t="s">
        <v>27</v>
      </c>
      <c r="D4" s="250" t="s">
        <v>28</v>
      </c>
      <c r="E4" s="250" t="s">
        <v>29</v>
      </c>
      <c r="F4" s="250" t="s">
        <v>30</v>
      </c>
      <c r="G4" s="250" t="s">
        <v>31</v>
      </c>
      <c r="H4" s="250" t="s">
        <v>32</v>
      </c>
      <c r="I4" s="250" t="s">
        <v>33</v>
      </c>
      <c r="J4" s="250" t="s">
        <v>34</v>
      </c>
      <c r="K4" s="250" t="s">
        <v>35</v>
      </c>
      <c r="L4" s="250" t="s">
        <v>36</v>
      </c>
      <c r="M4" s="250" t="s">
        <v>37</v>
      </c>
      <c r="N4" s="250" t="s">
        <v>38</v>
      </c>
      <c r="O4" s="294" t="s">
        <v>39</v>
      </c>
      <c r="P4" s="292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145</v>
      </c>
      <c r="E5" s="36">
        <v>0</v>
      </c>
      <c r="F5" s="36">
        <v>0</v>
      </c>
      <c r="G5" s="36">
        <v>0</v>
      </c>
      <c r="H5" s="36">
        <v>72.5</v>
      </c>
      <c r="I5" s="36">
        <v>0</v>
      </c>
      <c r="J5" s="36">
        <f>43.5+29</f>
        <v>72.5</v>
      </c>
      <c r="K5" s="36"/>
      <c r="L5" s="36"/>
      <c r="M5" s="36"/>
      <c r="N5" s="36"/>
      <c r="O5" s="266">
        <f>126+K5+H5+M5</f>
        <v>198.5</v>
      </c>
      <c r="P5" s="286">
        <f t="shared" ref="P5:P27" si="0">O5/$O$23</f>
        <v>0.62916006339144215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/>
      <c r="L6" s="36"/>
      <c r="M6" s="36"/>
      <c r="N6" s="36"/>
      <c r="O6" s="267">
        <v>0</v>
      </c>
      <c r="P6" s="286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145</v>
      </c>
      <c r="I7" s="36">
        <v>0</v>
      </c>
      <c r="J7" s="36">
        <v>0</v>
      </c>
      <c r="K7" s="36"/>
      <c r="L7" s="36"/>
      <c r="M7" s="36"/>
      <c r="N7" s="36"/>
      <c r="O7" s="267">
        <v>25</v>
      </c>
      <c r="P7" s="286">
        <f t="shared" si="0"/>
        <v>7.9239302694136288E-2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/>
      <c r="L8" s="36"/>
      <c r="M8" s="36"/>
      <c r="N8" s="36"/>
      <c r="O8" s="267">
        <v>0</v>
      </c>
      <c r="P8" s="286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36"/>
      <c r="O9" s="267">
        <v>0</v>
      </c>
      <c r="P9" s="286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/>
      <c r="L10" s="36"/>
      <c r="M10" s="36"/>
      <c r="N10" s="36"/>
      <c r="O10" s="267">
        <v>0</v>
      </c>
      <c r="P10" s="286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72.5</v>
      </c>
      <c r="D11" s="36">
        <v>0</v>
      </c>
      <c r="E11" s="36">
        <v>145</v>
      </c>
      <c r="F11" s="36">
        <v>0</v>
      </c>
      <c r="G11" s="36">
        <v>14.5</v>
      </c>
      <c r="H11" s="36">
        <v>0</v>
      </c>
      <c r="I11" s="36">
        <v>0</v>
      </c>
      <c r="J11" s="36">
        <v>0</v>
      </c>
      <c r="K11" s="36"/>
      <c r="L11" s="36"/>
      <c r="M11" s="36"/>
      <c r="N11" s="36"/>
      <c r="O11" s="267">
        <v>0</v>
      </c>
      <c r="P11" s="286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/>
      <c r="L12" s="36"/>
      <c r="M12" s="36"/>
      <c r="N12" s="36"/>
      <c r="O12" s="267">
        <v>0</v>
      </c>
      <c r="P12" s="286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/>
      <c r="L13" s="36"/>
      <c r="M13" s="36"/>
      <c r="N13" s="36"/>
      <c r="O13" s="267">
        <v>0</v>
      </c>
      <c r="P13" s="286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/>
      <c r="L14" s="36"/>
      <c r="M14" s="36"/>
      <c r="N14" s="36"/>
      <c r="O14" s="267">
        <v>0</v>
      </c>
      <c r="P14" s="286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/>
      <c r="L15" s="36"/>
      <c r="M15" s="36"/>
      <c r="N15" s="36"/>
      <c r="O15" s="267">
        <v>0</v>
      </c>
      <c r="P15" s="286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/>
      <c r="L16" s="36"/>
      <c r="M16" s="36"/>
      <c r="N16" s="36"/>
      <c r="O16" s="267">
        <v>0</v>
      </c>
      <c r="P16" s="286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/>
      <c r="L17" s="36"/>
      <c r="M17" s="36"/>
      <c r="N17" s="36"/>
      <c r="O17" s="267">
        <v>92</v>
      </c>
      <c r="P17" s="286">
        <f t="shared" si="0"/>
        <v>0.29160063391442154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/>
      <c r="N18" s="36"/>
      <c r="O18" s="267">
        <v>0</v>
      </c>
      <c r="P18" s="286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f>66</f>
        <v>66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/>
      <c r="L19" s="36"/>
      <c r="M19" s="36"/>
      <c r="N19" s="36"/>
      <c r="O19" s="267">
        <v>0</v>
      </c>
      <c r="P19" s="286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/>
      <c r="L20" s="36"/>
      <c r="M20" s="36"/>
      <c r="N20" s="36"/>
      <c r="O20" s="267">
        <v>0</v>
      </c>
      <c r="P20" s="286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/>
      <c r="L21" s="36"/>
      <c r="M21" s="36"/>
      <c r="N21" s="36"/>
      <c r="O21" s="267">
        <v>0</v>
      </c>
      <c r="P21" s="286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/>
      <c r="L22" s="36"/>
      <c r="M22" s="36"/>
      <c r="N22" s="36"/>
      <c r="O22" s="267">
        <v>0</v>
      </c>
      <c r="P22" s="286">
        <f t="shared" si="0"/>
        <v>0</v>
      </c>
    </row>
    <row r="23" spans="1:16" s="48" customFormat="1" ht="17.25" customHeight="1" x14ac:dyDescent="0.2">
      <c r="A23" s="45">
        <v>5.486111111111111E-2</v>
      </c>
      <c r="B23" s="153" t="s">
        <v>22</v>
      </c>
      <c r="C23" s="42">
        <f>SUM(C5:C22)</f>
        <v>72.5</v>
      </c>
      <c r="D23" s="42">
        <f t="shared" ref="D23:N23" si="1">SUM(D5:D22)</f>
        <v>211</v>
      </c>
      <c r="E23" s="42">
        <f t="shared" si="1"/>
        <v>145</v>
      </c>
      <c r="F23" s="42">
        <f t="shared" si="1"/>
        <v>0</v>
      </c>
      <c r="G23" s="42">
        <f>G11</f>
        <v>14.5</v>
      </c>
      <c r="H23" s="42">
        <f t="shared" si="1"/>
        <v>217.5</v>
      </c>
      <c r="I23" s="42">
        <f t="shared" si="1"/>
        <v>0</v>
      </c>
      <c r="J23" s="42">
        <f t="shared" si="1"/>
        <v>72.5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53">
        <f>SUM(O5:O22)</f>
        <v>315.5</v>
      </c>
      <c r="P23" s="287">
        <f t="shared" si="0"/>
        <v>1</v>
      </c>
    </row>
    <row r="24" spans="1:16" ht="17.25" customHeight="1" x14ac:dyDescent="0.2">
      <c r="A24" s="30">
        <v>20</v>
      </c>
      <c r="B24" s="31" t="s">
        <v>80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145</v>
      </c>
      <c r="K24" s="36"/>
      <c r="L24" s="36"/>
      <c r="M24" s="36"/>
      <c r="N24" s="36">
        <v>0</v>
      </c>
      <c r="O24" s="267"/>
      <c r="P24" s="286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67"/>
      <c r="P25" s="286">
        <f t="shared" si="0"/>
        <v>0</v>
      </c>
    </row>
    <row r="26" spans="1:16" s="48" customFormat="1" ht="17.25" customHeight="1" x14ac:dyDescent="0.2">
      <c r="A26" s="49" t="s">
        <v>24</v>
      </c>
      <c r="B26" s="151" t="s">
        <v>23</v>
      </c>
      <c r="C26" s="41">
        <f>SUM(C24:C25)</f>
        <v>0</v>
      </c>
      <c r="D26" s="41">
        <f t="shared" ref="D26:N26" si="2">SUM(D24:D25)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145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271">
        <f>SUM(C26:N26)</f>
        <v>145</v>
      </c>
      <c r="P26" s="288">
        <f t="shared" si="0"/>
        <v>0.45958795562599047</v>
      </c>
    </row>
    <row r="27" spans="1:16" s="55" customFormat="1" ht="17.25" customHeight="1" x14ac:dyDescent="0.2">
      <c r="A27" s="202" t="s">
        <v>26</v>
      </c>
      <c r="B27" s="207" t="s">
        <v>25</v>
      </c>
      <c r="C27" s="278">
        <f>C23+C26</f>
        <v>72.5</v>
      </c>
      <c r="D27" s="278">
        <f t="shared" ref="D27:N27" si="3">D23+D26</f>
        <v>211</v>
      </c>
      <c r="E27" s="278">
        <f t="shared" si="3"/>
        <v>145</v>
      </c>
      <c r="F27" s="278">
        <f t="shared" si="3"/>
        <v>0</v>
      </c>
      <c r="G27" s="278">
        <f t="shared" si="3"/>
        <v>14.5</v>
      </c>
      <c r="H27" s="278">
        <f t="shared" si="3"/>
        <v>217.5</v>
      </c>
      <c r="I27" s="278">
        <f t="shared" si="3"/>
        <v>0</v>
      </c>
      <c r="J27" s="278">
        <f t="shared" si="3"/>
        <v>217.5</v>
      </c>
      <c r="K27" s="278">
        <f t="shared" si="3"/>
        <v>0</v>
      </c>
      <c r="L27" s="278">
        <f t="shared" si="3"/>
        <v>0</v>
      </c>
      <c r="M27" s="278">
        <f t="shared" si="3"/>
        <v>0</v>
      </c>
      <c r="N27" s="278">
        <f t="shared" si="3"/>
        <v>0</v>
      </c>
      <c r="O27" s="278">
        <f>O23</f>
        <v>315.5</v>
      </c>
      <c r="P27" s="289">
        <f t="shared" si="0"/>
        <v>1</v>
      </c>
    </row>
    <row r="28" spans="1:16" s="114" customFormat="1" ht="18" customHeight="1" x14ac:dyDescent="0.45">
      <c r="A28" s="62"/>
      <c r="B28" s="193"/>
      <c r="M28" s="114">
        <v>0</v>
      </c>
      <c r="O28" s="166"/>
      <c r="P28" s="296"/>
    </row>
    <row r="29" spans="1:16" s="114" customFormat="1" ht="18" customHeight="1" x14ac:dyDescent="0.45">
      <c r="A29" s="62"/>
      <c r="B29" s="193"/>
      <c r="L29" s="363" t="s">
        <v>49</v>
      </c>
      <c r="M29" s="363"/>
      <c r="N29" s="363"/>
      <c r="O29" s="166"/>
      <c r="P29" s="296"/>
    </row>
    <row r="30" spans="1:16" s="114" customFormat="1" ht="18" customHeight="1" x14ac:dyDescent="0.45">
      <c r="A30" s="62"/>
      <c r="B30" s="193"/>
      <c r="G30" s="363" t="s">
        <v>79</v>
      </c>
      <c r="H30" s="363"/>
      <c r="I30" s="363"/>
      <c r="J30" s="15"/>
      <c r="K30" s="15"/>
      <c r="L30" s="363"/>
      <c r="M30" s="363"/>
      <c r="N30" s="363"/>
      <c r="O30" s="166"/>
      <c r="P30" s="296"/>
    </row>
    <row r="31" spans="1:16" s="114" customFormat="1" ht="18" customHeight="1" x14ac:dyDescent="0.45">
      <c r="A31" s="62"/>
      <c r="B31" s="193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6"/>
      <c r="P31" s="296"/>
    </row>
    <row r="32" spans="1:16" s="114" customFormat="1" ht="18" customHeight="1" x14ac:dyDescent="0.45">
      <c r="A32" s="62"/>
      <c r="B32" s="193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6"/>
      <c r="P32" s="296"/>
    </row>
    <row r="33" spans="1:16" s="114" customFormat="1" ht="18" customHeight="1" x14ac:dyDescent="0.45">
      <c r="A33" s="62"/>
      <c r="B33" s="193"/>
      <c r="G33" s="17"/>
      <c r="H33" s="17"/>
      <c r="I33" s="17"/>
      <c r="J33" s="17"/>
      <c r="K33" s="15"/>
      <c r="L33" s="17"/>
      <c r="M33" s="17"/>
      <c r="N33" s="19"/>
      <c r="O33" s="166"/>
      <c r="P33" s="296"/>
    </row>
    <row r="34" spans="1:16" s="114" customFormat="1" ht="18" customHeight="1" x14ac:dyDescent="0.45">
      <c r="A34" s="62"/>
      <c r="B34" s="193"/>
      <c r="O34" s="166"/>
      <c r="P34" s="296"/>
    </row>
    <row r="35" spans="1:16" s="114" customFormat="1" ht="18" customHeight="1" x14ac:dyDescent="0.45">
      <c r="A35" s="62"/>
      <c r="B35" s="193"/>
      <c r="O35" s="166"/>
      <c r="P35" s="296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zoomScale="118" zoomScaleNormal="118" workbookViewId="0">
      <selection activeCell="J28" sqref="J28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297" customWidth="1"/>
    <col min="16" max="16" width="9.875" style="331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28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27/05/63</v>
      </c>
      <c r="O2" s="71"/>
      <c r="P2" s="328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28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29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28761.36+500+278</f>
        <v>29539.360000000001</v>
      </c>
      <c r="D5" s="36">
        <f>28695.89+8473.5</f>
        <v>37169.39</v>
      </c>
      <c r="E5" s="36">
        <f>20793.46+360+547+800+375</f>
        <v>22875.46</v>
      </c>
      <c r="F5" s="36">
        <f>25818.77+150+7945+445.12+270</f>
        <v>34628.890000000007</v>
      </c>
      <c r="G5" s="36">
        <f>31392.88+2675+690+300</f>
        <v>35057.880000000005</v>
      </c>
      <c r="H5" s="36">
        <f>15259.96+5631.85+139.1</f>
        <v>21030.909999999996</v>
      </c>
      <c r="I5" s="36">
        <f>26594.44+200</f>
        <v>26794.44</v>
      </c>
      <c r="J5" s="36">
        <v>5994.52</v>
      </c>
      <c r="K5" s="36"/>
      <c r="L5" s="36"/>
      <c r="M5" s="36"/>
      <c r="N5" s="36"/>
      <c r="O5" s="266">
        <f>SUM(C5:N5)</f>
        <v>213090.85</v>
      </c>
      <c r="P5" s="286">
        <f t="shared" ref="P5:P27" si="0">O5/$O$23</f>
        <v>0.15709959344624602</v>
      </c>
    </row>
    <row r="6" spans="1:17" s="27" customFormat="1" ht="18" customHeight="1" x14ac:dyDescent="0.2">
      <c r="A6" s="25">
        <v>2</v>
      </c>
      <c r="B6" s="28" t="s">
        <v>19</v>
      </c>
      <c r="C6" s="35">
        <f>16641.56+1947+1426</f>
        <v>20014.560000000001</v>
      </c>
      <c r="D6" s="36">
        <f>2296.58+60+620+14270.27+160+1320</f>
        <v>18726.849999999999</v>
      </c>
      <c r="E6" s="36">
        <f>10497.8+64+37.5</f>
        <v>10599.3</v>
      </c>
      <c r="F6" s="36">
        <f>64+11178.89+1050+390+588.5+250</f>
        <v>13521.39</v>
      </c>
      <c r="G6" s="36">
        <f>14078.9+270</f>
        <v>14348.9</v>
      </c>
      <c r="H6" s="36">
        <f>9676.3+535+5301.7</f>
        <v>15513</v>
      </c>
      <c r="I6" s="36">
        <f>11446.5+1320+250</f>
        <v>13016.5</v>
      </c>
      <c r="J6" s="36">
        <v>5127.9799999999996</v>
      </c>
      <c r="K6" s="36"/>
      <c r="L6" s="36"/>
      <c r="M6" s="36"/>
      <c r="N6" s="36"/>
      <c r="O6" s="266">
        <f t="shared" ref="O6:O22" si="1">SUM(C6:N6)</f>
        <v>110868.48</v>
      </c>
      <c r="P6" s="286">
        <f t="shared" si="0"/>
        <v>8.1736935837476155E-2</v>
      </c>
    </row>
    <row r="7" spans="1:17" s="27" customFormat="1" ht="18" customHeight="1" x14ac:dyDescent="0.2">
      <c r="A7" s="25">
        <v>3</v>
      </c>
      <c r="B7" s="28" t="s">
        <v>20</v>
      </c>
      <c r="C7" s="35">
        <f>3547.28+1707.57+150</f>
        <v>5404.85</v>
      </c>
      <c r="D7" s="36">
        <v>2977.12</v>
      </c>
      <c r="E7" s="36">
        <f>5022.55+750</f>
        <v>5772.55</v>
      </c>
      <c r="F7" s="36">
        <f>8489.24+60+60+53.5+37+1200</f>
        <v>9899.74</v>
      </c>
      <c r="G7" s="36">
        <f>6457.16</f>
        <v>6457.16</v>
      </c>
      <c r="H7" s="36">
        <f>2265.1</f>
        <v>2265.1</v>
      </c>
      <c r="I7" s="36">
        <f>1311.86+1724.04</f>
        <v>3035.8999999999996</v>
      </c>
      <c r="J7" s="36">
        <f>3775+100</f>
        <v>3875</v>
      </c>
      <c r="K7" s="36"/>
      <c r="L7" s="36"/>
      <c r="M7" s="36"/>
      <c r="N7" s="36"/>
      <c r="O7" s="266">
        <f t="shared" si="1"/>
        <v>39687.420000000006</v>
      </c>
      <c r="P7" s="286">
        <f t="shared" si="0"/>
        <v>2.9259245748611044E-2</v>
      </c>
    </row>
    <row r="8" spans="1:17" s="27" customFormat="1" ht="18" customHeight="1" x14ac:dyDescent="0.2">
      <c r="A8" s="25">
        <v>4</v>
      </c>
      <c r="B8" s="28" t="s">
        <v>21</v>
      </c>
      <c r="C8" s="35">
        <f>3956.5+4503.93</f>
        <v>8460.43</v>
      </c>
      <c r="D8" s="36">
        <f>5728</f>
        <v>5728</v>
      </c>
      <c r="E8" s="36">
        <f>15945.13+788+4200</f>
        <v>20933.129999999997</v>
      </c>
      <c r="F8" s="36">
        <f>13572.25+7080+1305+265+190</f>
        <v>22412.25</v>
      </c>
      <c r="G8" s="36">
        <f>7898.7+248</f>
        <v>8146.7</v>
      </c>
      <c r="H8" s="36">
        <f>6127.52+2140+150+2352</f>
        <v>10769.52</v>
      </c>
      <c r="I8" s="36">
        <f>8860.34+7422.4</f>
        <v>16282.74</v>
      </c>
      <c r="J8" s="36">
        <v>8366.9699999999993</v>
      </c>
      <c r="K8" s="36"/>
      <c r="L8" s="36"/>
      <c r="M8" s="36"/>
      <c r="N8" s="36"/>
      <c r="O8" s="266">
        <f t="shared" si="1"/>
        <v>101099.74</v>
      </c>
      <c r="P8" s="286">
        <f t="shared" si="0"/>
        <v>7.4535007258740474E-2</v>
      </c>
    </row>
    <row r="9" spans="1:17" s="27" customFormat="1" ht="18" customHeight="1" x14ac:dyDescent="0.2">
      <c r="A9" s="25">
        <v>5</v>
      </c>
      <c r="B9" s="28" t="s">
        <v>2</v>
      </c>
      <c r="C9" s="35">
        <f>540+3745+2206.75+400</f>
        <v>6891.75</v>
      </c>
      <c r="D9" s="36">
        <f>6330+119.84+308.16+620+200</f>
        <v>7578</v>
      </c>
      <c r="E9" s="36">
        <f>10190.35+6286</f>
        <v>16476.349999999999</v>
      </c>
      <c r="F9" s="36">
        <f>9633+71.33+1200</f>
        <v>10904.33</v>
      </c>
      <c r="G9" s="36">
        <v>2228.16</v>
      </c>
      <c r="H9" s="36">
        <f>10571.86</f>
        <v>10571.86</v>
      </c>
      <c r="I9" s="36">
        <f>3913.02</f>
        <v>3913.02</v>
      </c>
      <c r="J9" s="36">
        <f>7664.3</f>
        <v>7664.3</v>
      </c>
      <c r="K9" s="36"/>
      <c r="L9" s="36"/>
      <c r="M9" s="36"/>
      <c r="N9" s="36"/>
      <c r="O9" s="266">
        <f t="shared" si="1"/>
        <v>66227.76999999999</v>
      </c>
      <c r="P9" s="286">
        <f t="shared" si="0"/>
        <v>4.882591505853718E-2</v>
      </c>
    </row>
    <row r="10" spans="1:17" s="27" customFormat="1" ht="18" customHeight="1" x14ac:dyDescent="0.2">
      <c r="A10" s="25">
        <v>6</v>
      </c>
      <c r="B10" s="28" t="s">
        <v>3</v>
      </c>
      <c r="C10" s="35">
        <f>11202.83+1008</f>
        <v>12210.83</v>
      </c>
      <c r="D10" s="36">
        <f>4857+60</f>
        <v>4917</v>
      </c>
      <c r="E10" s="36">
        <f>6651.18</f>
        <v>6651.18</v>
      </c>
      <c r="F10" s="36">
        <f>2786.28+1632</f>
        <v>4418.2800000000007</v>
      </c>
      <c r="G10" s="36">
        <f>9258.6+800+500</f>
        <v>10558.6</v>
      </c>
      <c r="H10" s="36">
        <f>3097.92+1605+734.74</f>
        <v>5437.66</v>
      </c>
      <c r="I10" s="36">
        <f>6565.7-74.9-79.4+50</f>
        <v>6461.4000000000005</v>
      </c>
      <c r="J10" s="36">
        <f>1300+205.44+260</f>
        <v>1765.44</v>
      </c>
      <c r="K10" s="36"/>
      <c r="L10" s="36"/>
      <c r="M10" s="36"/>
      <c r="N10" s="36"/>
      <c r="O10" s="266">
        <f t="shared" si="1"/>
        <v>52420.390000000007</v>
      </c>
      <c r="P10" s="286">
        <f t="shared" si="0"/>
        <v>3.8646530140987567E-2</v>
      </c>
    </row>
    <row r="11" spans="1:17" s="27" customFormat="1" ht="18" customHeight="1" x14ac:dyDescent="0.2">
      <c r="A11" s="25">
        <v>7</v>
      </c>
      <c r="B11" s="28" t="s">
        <v>4</v>
      </c>
      <c r="C11" s="35">
        <f>12974.3+100+240</f>
        <v>13314.3</v>
      </c>
      <c r="D11" s="36">
        <f>8611.66+960</f>
        <v>9571.66</v>
      </c>
      <c r="E11" s="36">
        <f>18120.98+1130+540+984</f>
        <v>20774.98</v>
      </c>
      <c r="F11" s="36">
        <f>22416.53+25+984+3802+63.32+190</f>
        <v>27480.85</v>
      </c>
      <c r="G11" s="36">
        <f>5353.19+1350+270+1482+360</f>
        <v>8815.1899999999987</v>
      </c>
      <c r="H11" s="36">
        <f>5260.8+450</f>
        <v>5710.8</v>
      </c>
      <c r="I11" s="36">
        <f>15300+1605+450</f>
        <v>17355</v>
      </c>
      <c r="J11" s="36">
        <f>1348.1+860</f>
        <v>2208.1</v>
      </c>
      <c r="K11" s="36"/>
      <c r="L11" s="36"/>
      <c r="M11" s="36"/>
      <c r="N11" s="36"/>
      <c r="O11" s="266">
        <f t="shared" si="1"/>
        <v>105230.88000000002</v>
      </c>
      <c r="P11" s="286">
        <f t="shared" si="0"/>
        <v>7.7580658512510989E-2</v>
      </c>
    </row>
    <row r="12" spans="1:17" s="27" customFormat="1" ht="18" customHeight="1" x14ac:dyDescent="0.2">
      <c r="A12" s="25">
        <v>8</v>
      </c>
      <c r="B12" s="28" t="s">
        <v>5</v>
      </c>
      <c r="C12" s="35">
        <v>3622.72</v>
      </c>
      <c r="D12" s="36">
        <f>17002.59+10082.41+725+1300+1320+300</f>
        <v>30730</v>
      </c>
      <c r="E12" s="36">
        <f>5962+960+6201.82+1240</f>
        <v>14363.82</v>
      </c>
      <c r="F12" s="36">
        <f>3559.25+32+250+7912.6+640</f>
        <v>12393.85</v>
      </c>
      <c r="G12" s="36">
        <f>9816.2+125</f>
        <v>9941.2000000000007</v>
      </c>
      <c r="H12" s="36">
        <f>2691.91+4805.23+2765.25+250</f>
        <v>10512.39</v>
      </c>
      <c r="I12" s="36">
        <f>3587.55+12+1605</f>
        <v>5204.55</v>
      </c>
      <c r="J12" s="36">
        <f>5600+64+24+2140+2533</f>
        <v>10361</v>
      </c>
      <c r="K12" s="36"/>
      <c r="L12" s="36"/>
      <c r="M12" s="36"/>
      <c r="N12" s="36"/>
      <c r="O12" s="266">
        <f t="shared" si="1"/>
        <v>97129.53</v>
      </c>
      <c r="P12" s="286">
        <f t="shared" si="0"/>
        <v>7.1608000412147946E-2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9653.64</v>
      </c>
      <c r="D13" s="36">
        <f>4435.81</f>
        <v>4435.8100000000004</v>
      </c>
      <c r="E13" s="36">
        <f>9446.8+480</f>
        <v>9926.7999999999993</v>
      </c>
      <c r="F13" s="36">
        <f>4747.33+210+50+38</f>
        <v>5045.33</v>
      </c>
      <c r="G13" s="36">
        <f>8622.52+1605</f>
        <v>10227.52</v>
      </c>
      <c r="H13" s="36">
        <f>5587.73+150+40+63.4</f>
        <v>5841.1299999999992</v>
      </c>
      <c r="I13" s="36">
        <f>5319.46+2200+38</f>
        <v>7557.46</v>
      </c>
      <c r="J13" s="36">
        <f>2041.28+1070+55.64</f>
        <v>3166.9199999999996</v>
      </c>
      <c r="K13" s="36"/>
      <c r="L13" s="36"/>
      <c r="M13" s="36"/>
      <c r="N13" s="36"/>
      <c r="O13" s="266">
        <f t="shared" si="1"/>
        <v>55854.61</v>
      </c>
      <c r="P13" s="286">
        <f t="shared" si="0"/>
        <v>4.1178382474417026E-2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1124</v>
      </c>
      <c r="D14" s="36">
        <v>6398</v>
      </c>
      <c r="E14" s="36">
        <v>1967</v>
      </c>
      <c r="F14" s="36">
        <f>7956.4</f>
        <v>7956.4</v>
      </c>
      <c r="G14" s="36">
        <v>4440.3999999999996</v>
      </c>
      <c r="H14" s="36">
        <f>6103.41+100+4167.65</f>
        <v>10371.06</v>
      </c>
      <c r="I14" s="36">
        <v>0</v>
      </c>
      <c r="J14" s="36">
        <f>7029.06+1070</f>
        <v>8099.06</v>
      </c>
      <c r="K14" s="36"/>
      <c r="L14" s="36"/>
      <c r="M14" s="36"/>
      <c r="N14" s="36"/>
      <c r="O14" s="266">
        <f t="shared" si="1"/>
        <v>40355.919999999998</v>
      </c>
      <c r="P14" s="286">
        <f t="shared" si="0"/>
        <v>2.9752092242108133E-2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5284.2+11965.12+150</f>
        <v>17399.32</v>
      </c>
      <c r="D15" s="36">
        <f>688+3573.66</f>
        <v>4261.66</v>
      </c>
      <c r="E15" s="36">
        <v>6015.12</v>
      </c>
      <c r="F15" s="36">
        <f>6247.8+4841.75</f>
        <v>11089.55</v>
      </c>
      <c r="G15" s="36">
        <f>1700+8129.59</f>
        <v>9829.59</v>
      </c>
      <c r="H15" s="36">
        <f>7432+1070+222.56+150+1069.2+2245.16</f>
        <v>12188.92</v>
      </c>
      <c r="I15" s="36">
        <f>2550+410</f>
        <v>2960</v>
      </c>
      <c r="J15" s="36">
        <f>1925+345</f>
        <v>2270</v>
      </c>
      <c r="K15" s="36"/>
      <c r="L15" s="36"/>
      <c r="M15" s="36"/>
      <c r="N15" s="36"/>
      <c r="O15" s="266">
        <f t="shared" si="1"/>
        <v>66014.159999999989</v>
      </c>
      <c r="P15" s="286">
        <f t="shared" si="0"/>
        <v>4.8668432725738502E-2</v>
      </c>
    </row>
    <row r="16" spans="1:17" s="27" customFormat="1" ht="18" customHeight="1" x14ac:dyDescent="0.2">
      <c r="A16" s="25">
        <v>12</v>
      </c>
      <c r="B16" s="28" t="s">
        <v>9</v>
      </c>
      <c r="C16" s="35">
        <v>3976.99</v>
      </c>
      <c r="D16" s="36">
        <f>5674.79</f>
        <v>5674.79</v>
      </c>
      <c r="E16" s="36">
        <f>7372.71+40+333.84+54.33</f>
        <v>7800.88</v>
      </c>
      <c r="F16" s="36">
        <f>5786.23+180</f>
        <v>5966.23</v>
      </c>
      <c r="G16" s="36">
        <f>7309.81+1070+35.6</f>
        <v>8415.4100000000017</v>
      </c>
      <c r="H16" s="36">
        <f>6048.42+1008+80+252</f>
        <v>7388.42</v>
      </c>
      <c r="I16" s="36">
        <v>4860.42</v>
      </c>
      <c r="J16" s="36">
        <f>4345.39</f>
        <v>4345.3900000000003</v>
      </c>
      <c r="K16" s="36"/>
      <c r="L16" s="36"/>
      <c r="M16" s="36"/>
      <c r="N16" s="36"/>
      <c r="O16" s="266">
        <f t="shared" si="1"/>
        <v>48428.53</v>
      </c>
      <c r="P16" s="286">
        <f t="shared" si="0"/>
        <v>3.5703561998083576E-2</v>
      </c>
    </row>
    <row r="17" spans="1:16" s="27" customFormat="1" ht="18" customHeight="1" x14ac:dyDescent="0.2">
      <c r="A17" s="25">
        <v>13</v>
      </c>
      <c r="B17" s="28" t="s">
        <v>82</v>
      </c>
      <c r="C17" s="35">
        <f>10363.79+50</f>
        <v>10413.790000000001</v>
      </c>
      <c r="D17" s="36">
        <f>6555+180</f>
        <v>6735</v>
      </c>
      <c r="E17" s="36">
        <v>3510</v>
      </c>
      <c r="F17" s="36">
        <f>2755+26.75+19.26+102.5</f>
        <v>2903.51</v>
      </c>
      <c r="G17" s="36">
        <f>5047.12+1070+250</f>
        <v>6367.12</v>
      </c>
      <c r="H17" s="36">
        <v>0</v>
      </c>
      <c r="I17" s="36">
        <f>9551.11+29+102.5+59.92+22.4+600+435+5425.62</f>
        <v>16225.55</v>
      </c>
      <c r="J17" s="36">
        <f>9675.61+375+550</f>
        <v>10600.61</v>
      </c>
      <c r="K17" s="36"/>
      <c r="L17" s="36"/>
      <c r="M17" s="36"/>
      <c r="N17" s="36"/>
      <c r="O17" s="266">
        <f t="shared" si="1"/>
        <v>56755.58</v>
      </c>
      <c r="P17" s="286">
        <f t="shared" si="0"/>
        <v>4.18426156909407E-2</v>
      </c>
    </row>
    <row r="18" spans="1:16" s="27" customFormat="1" ht="18" customHeight="1" x14ac:dyDescent="0.2">
      <c r="A18" s="25">
        <v>14</v>
      </c>
      <c r="B18" s="28" t="s">
        <v>11</v>
      </c>
      <c r="C18" s="35">
        <v>866.92</v>
      </c>
      <c r="D18" s="36">
        <f>4749.78+375</f>
        <v>5124.78</v>
      </c>
      <c r="E18" s="36">
        <v>3864.1</v>
      </c>
      <c r="F18" s="36">
        <f>4097.65+100+19</f>
        <v>4216.6499999999996</v>
      </c>
      <c r="G18" s="36">
        <f>614.1+1605+700+800+500+700+700</f>
        <v>5619.1</v>
      </c>
      <c r="H18" s="36">
        <v>0</v>
      </c>
      <c r="I18" s="36">
        <f>2253+500</f>
        <v>2753</v>
      </c>
      <c r="J18" s="36">
        <f>2346.08+2065.2</f>
        <v>4411.28</v>
      </c>
      <c r="K18" s="36"/>
      <c r="L18" s="36"/>
      <c r="M18" s="36"/>
      <c r="N18" s="36"/>
      <c r="O18" s="266">
        <f t="shared" si="1"/>
        <v>26855.829999999998</v>
      </c>
      <c r="P18" s="286">
        <f t="shared" si="0"/>
        <v>1.979925451825593E-2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8527.1200000000008</v>
      </c>
      <c r="D19" s="36">
        <f>10681.7+1895.12</f>
        <v>12576.82</v>
      </c>
      <c r="E19" s="36">
        <v>12736.34</v>
      </c>
      <c r="F19" s="36">
        <f>14400.46+100</f>
        <v>14500.46</v>
      </c>
      <c r="G19" s="36">
        <f>14943.88+500</f>
        <v>15443.88</v>
      </c>
      <c r="H19" s="36">
        <v>10240.81</v>
      </c>
      <c r="I19" s="36">
        <f>11356.35</f>
        <v>11356.35</v>
      </c>
      <c r="J19" s="36">
        <f>9465.35+729.2+150.5</f>
        <v>10345.050000000001</v>
      </c>
      <c r="K19" s="36"/>
      <c r="L19" s="36"/>
      <c r="M19" s="36"/>
      <c r="N19" s="36"/>
      <c r="O19" s="266">
        <f t="shared" si="1"/>
        <v>95726.83</v>
      </c>
      <c r="P19" s="286">
        <f t="shared" si="0"/>
        <v>7.057387060447648E-2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v>8481.76</v>
      </c>
      <c r="E20" s="36">
        <f>5592.1+620+630</f>
        <v>6842.1</v>
      </c>
      <c r="F20" s="36">
        <f>9660.14+496+100</f>
        <v>10256.14</v>
      </c>
      <c r="G20" s="36">
        <f>3145.76+270+1070+165</f>
        <v>4650.76</v>
      </c>
      <c r="H20" s="36">
        <f>5523.84+441.75</f>
        <v>5965.59</v>
      </c>
      <c r="I20" s="36">
        <v>6079.19</v>
      </c>
      <c r="J20" s="36">
        <v>4293.66</v>
      </c>
      <c r="K20" s="36"/>
      <c r="L20" s="36"/>
      <c r="M20" s="36"/>
      <c r="N20" s="36"/>
      <c r="O20" s="266">
        <f t="shared" si="1"/>
        <v>46569.200000000012</v>
      </c>
      <c r="P20" s="286">
        <f t="shared" si="0"/>
        <v>3.4332785228070192E-2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2128.53+4584.28</f>
        <v>6712.8099999999995</v>
      </c>
      <c r="D21" s="36">
        <f>64+7712.12</f>
        <v>7776.12</v>
      </c>
      <c r="E21" s="36">
        <f>8616.06</f>
        <v>8616.06</v>
      </c>
      <c r="F21" s="36">
        <f>7669.81+270+32.1+50+265+1020</f>
        <v>9306.91</v>
      </c>
      <c r="G21" s="36">
        <f>8595.32+50</f>
        <v>8645.32</v>
      </c>
      <c r="H21" s="36">
        <f>7704.39+265+4288.62+800</f>
        <v>13058.01</v>
      </c>
      <c r="I21" s="36">
        <f>4958.61+1168.46</f>
        <v>6127.07</v>
      </c>
      <c r="J21" s="36">
        <f>5072.46+50</f>
        <v>5122.46</v>
      </c>
      <c r="K21" s="36"/>
      <c r="L21" s="36"/>
      <c r="M21" s="36"/>
      <c r="N21" s="36"/>
      <c r="O21" s="266">
        <f t="shared" si="1"/>
        <v>65364.76</v>
      </c>
      <c r="P21" s="286">
        <f t="shared" si="0"/>
        <v>4.8189667560627043E-2</v>
      </c>
    </row>
    <row r="22" spans="1:16" s="27" customFormat="1" ht="18" customHeight="1" x14ac:dyDescent="0.2">
      <c r="A22" s="25">
        <v>18</v>
      </c>
      <c r="B22" s="28" t="s">
        <v>15</v>
      </c>
      <c r="C22" s="35">
        <v>7507.46</v>
      </c>
      <c r="D22" s="36">
        <f>11095.53+58+100</f>
        <v>11253.53</v>
      </c>
      <c r="E22" s="36">
        <f>6801.42+180</f>
        <v>6981.42</v>
      </c>
      <c r="F22" s="36">
        <f>6071.62</f>
        <v>6071.62</v>
      </c>
      <c r="G22" s="36">
        <f>8310.86+150+78.4+150</f>
        <v>8689.26</v>
      </c>
      <c r="H22" s="36">
        <f>2629+83.46</f>
        <v>2712.46</v>
      </c>
      <c r="I22" s="36">
        <f>10197.13+19.26</f>
        <v>10216.39</v>
      </c>
      <c r="J22" s="36">
        <f>15293.5</f>
        <v>15293.5</v>
      </c>
      <c r="K22" s="36"/>
      <c r="L22" s="36"/>
      <c r="M22" s="36"/>
      <c r="N22" s="36"/>
      <c r="O22" s="266">
        <f t="shared" si="1"/>
        <v>68725.64</v>
      </c>
      <c r="P22" s="286">
        <f t="shared" si="0"/>
        <v>5.0667450542024976E-2</v>
      </c>
    </row>
    <row r="23" spans="1:16" s="133" customFormat="1" ht="21.75" customHeight="1" x14ac:dyDescent="0.2">
      <c r="A23" s="45">
        <v>5.4166666666666669E-2</v>
      </c>
      <c r="B23" s="131" t="s">
        <v>22</v>
      </c>
      <c r="C23" s="132">
        <f t="shared" ref="C23:H23" si="2">C22+C21+C20+C19+C18+C17+C16+C15+C14+C13+C12+C11+C10+C9+C8+C7+C6+C5</f>
        <v>165640.84999999998</v>
      </c>
      <c r="D23" s="132">
        <f t="shared" si="2"/>
        <v>190116.28999999998</v>
      </c>
      <c r="E23" s="132">
        <f t="shared" si="2"/>
        <v>186706.58999999997</v>
      </c>
      <c r="F23" s="132">
        <f t="shared" si="2"/>
        <v>212972.38</v>
      </c>
      <c r="G23" s="132">
        <f t="shared" si="2"/>
        <v>177882.15000000002</v>
      </c>
      <c r="H23" s="132">
        <f t="shared" si="2"/>
        <v>149577.64000000001</v>
      </c>
      <c r="I23" s="132">
        <f>I22+I21+I20+I19+I18+I17+I16+I15+I14+I13+I12+I11+I10+I9+I8+I7+I6+I5</f>
        <v>160198.98000000001</v>
      </c>
      <c r="J23" s="132">
        <f>J22+J21+J20+J19+J18+J17+J16+J15+J14+J13+J12+J11+J10+J9+J8+J7+J6+J5</f>
        <v>113311.24</v>
      </c>
      <c r="K23" s="132"/>
      <c r="L23" s="132"/>
      <c r="M23" s="132"/>
      <c r="N23" s="132"/>
      <c r="O23" s="132">
        <f>SUM(O5:O22)</f>
        <v>1356406.12</v>
      </c>
      <c r="P23" s="287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9915.56+2640+30300.42</f>
        <v>42855.979999999996</v>
      </c>
      <c r="D24" s="36">
        <f>31121.14+4060+419.44+230+1080+200</f>
        <v>37110.58</v>
      </c>
      <c r="E24" s="36">
        <f>10721.32+8575+1625+300+2280+840+6272.77+150</f>
        <v>30764.09</v>
      </c>
      <c r="F24" s="36">
        <f>21809.03+100+16535.8+7500+2846.72+1380</f>
        <v>50171.55</v>
      </c>
      <c r="G24" s="36">
        <f>17308.94+3360+525+6518.15+1080+100</f>
        <v>28892.089999999997</v>
      </c>
      <c r="H24" s="36">
        <f>6919.15+250+600+170+590+1585.36+247+4714.05+1980+3420</f>
        <v>20475.560000000001</v>
      </c>
      <c r="I24" s="36">
        <f>16546.38+1500</f>
        <v>18046.38</v>
      </c>
      <c r="J24" s="36">
        <f>24941.11+1900+237.6+340+2890</f>
        <v>30308.71</v>
      </c>
      <c r="K24" s="36"/>
      <c r="L24" s="36"/>
      <c r="M24" s="36"/>
      <c r="N24" s="36"/>
      <c r="O24" s="266">
        <f t="shared" ref="O24:O27" si="3">SUM(C24:N24)</f>
        <v>258624.94</v>
      </c>
      <c r="P24" s="286">
        <f t="shared" si="0"/>
        <v>0.1906692517724706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266">
        <f t="shared" si="3"/>
        <v>0</v>
      </c>
      <c r="P25" s="286">
        <f t="shared" si="0"/>
        <v>0</v>
      </c>
    </row>
    <row r="26" spans="1:16" s="133" customFormat="1" ht="19.5" customHeight="1" x14ac:dyDescent="0.2">
      <c r="A26" s="49" t="s">
        <v>54</v>
      </c>
      <c r="B26" s="135" t="s">
        <v>23</v>
      </c>
      <c r="C26" s="136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271">
        <f t="shared" si="3"/>
        <v>0</v>
      </c>
      <c r="P26" s="288">
        <f t="shared" si="0"/>
        <v>0</v>
      </c>
    </row>
    <row r="27" spans="1:16" s="134" customFormat="1" ht="20.25" customHeight="1" x14ac:dyDescent="0.2">
      <c r="A27" s="155" t="s">
        <v>66</v>
      </c>
      <c r="B27" s="156" t="s">
        <v>25</v>
      </c>
      <c r="C27" s="157">
        <f>C24+C23</f>
        <v>208496.82999999996</v>
      </c>
      <c r="D27" s="158">
        <f>D24+D23</f>
        <v>227226.87</v>
      </c>
      <c r="E27" s="158">
        <f>E24+E23</f>
        <v>217470.67999999996</v>
      </c>
      <c r="F27" s="158">
        <f>F23+F24</f>
        <v>263143.93</v>
      </c>
      <c r="G27" s="158">
        <f>G24+G23</f>
        <v>206774.24000000002</v>
      </c>
      <c r="H27" s="158">
        <f>H24+H23</f>
        <v>170053.2</v>
      </c>
      <c r="I27" s="158">
        <f>I24+I23</f>
        <v>178245.36000000002</v>
      </c>
      <c r="J27" s="158">
        <f>J23+J24</f>
        <v>143619.95000000001</v>
      </c>
      <c r="K27" s="158"/>
      <c r="L27" s="158"/>
      <c r="M27" s="158"/>
      <c r="N27" s="158"/>
      <c r="O27" s="158">
        <f t="shared" si="3"/>
        <v>1615031.0599999998</v>
      </c>
      <c r="P27" s="330">
        <f t="shared" si="0"/>
        <v>1.1906692517724704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70</v>
      </c>
      <c r="H30" s="3"/>
      <c r="I30" s="3"/>
      <c r="J30" s="3"/>
      <c r="K30" s="3"/>
      <c r="L30" s="3" t="s">
        <v>49</v>
      </c>
      <c r="M30" s="8"/>
      <c r="O30" s="298"/>
      <c r="P30" s="332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298"/>
      <c r="P31" s="332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298"/>
      <c r="P32" s="332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C5" sqref="C5:J26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3" customWidth="1"/>
    <col min="16" max="16" width="12.625" style="323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62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1"/>
      <c r="P1" s="315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27/05/63</v>
      </c>
      <c r="O2" s="164"/>
      <c r="P2" s="315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4"/>
      <c r="P3" s="315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8" t="s">
        <v>39</v>
      </c>
      <c r="P4" s="345" t="s">
        <v>40</v>
      </c>
    </row>
    <row r="5" spans="1:17" ht="17.25" customHeight="1" x14ac:dyDescent="0.2">
      <c r="A5" s="25">
        <v>1</v>
      </c>
      <c r="B5" s="2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66"/>
      <c r="P5" s="286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66"/>
      <c r="P6" s="286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66"/>
      <c r="P7" s="286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66"/>
      <c r="P8" s="286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66"/>
      <c r="P9" s="286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6"/>
      <c r="P10" s="286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66"/>
      <c r="P11" s="286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66"/>
      <c r="P12" s="286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66"/>
      <c r="P13" s="286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66"/>
      <c r="P14" s="286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66"/>
      <c r="P15" s="286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66"/>
      <c r="P16" s="286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66"/>
      <c r="P17" s="286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66"/>
      <c r="P18" s="286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66"/>
      <c r="P19" s="286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66"/>
      <c r="P20" s="286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66"/>
      <c r="P21" s="286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66"/>
      <c r="P22" s="286" t="e">
        <f t="shared" si="0"/>
        <v>#DIV/0!</v>
      </c>
    </row>
    <row r="23" spans="1:16" ht="17.25" customHeight="1" x14ac:dyDescent="0.2">
      <c r="A23" s="32" t="s">
        <v>65</v>
      </c>
      <c r="B23" s="33" t="s">
        <v>22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46" t="e">
        <f t="shared" si="0"/>
        <v>#DIV/0!</v>
      </c>
    </row>
    <row r="24" spans="1:16" s="349" customFormat="1" ht="17.25" customHeight="1" x14ac:dyDescent="0.2">
      <c r="A24" s="30">
        <v>19</v>
      </c>
      <c r="B24" s="31" t="s">
        <v>16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8"/>
      <c r="P24" s="333" t="e">
        <f t="shared" si="0"/>
        <v>#DIV/0!</v>
      </c>
    </row>
    <row r="25" spans="1:16" s="349" customFormat="1" ht="17.25" customHeight="1" x14ac:dyDescent="0.2">
      <c r="A25" s="30">
        <v>20</v>
      </c>
      <c r="B25" s="28" t="s">
        <v>17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8"/>
      <c r="P25" s="333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1"/>
      <c r="P26" s="350" t="e">
        <f t="shared" si="0"/>
        <v>#DIV/0!</v>
      </c>
    </row>
    <row r="27" spans="1:16" s="353" customFormat="1" ht="17.25" customHeight="1" x14ac:dyDescent="0.2">
      <c r="A27" s="202" t="s">
        <v>66</v>
      </c>
      <c r="B27" s="216" t="s">
        <v>25</v>
      </c>
      <c r="C27" s="351"/>
      <c r="D27" s="351"/>
      <c r="E27" s="351"/>
      <c r="F27" s="351">
        <v>0</v>
      </c>
      <c r="G27" s="351">
        <v>0</v>
      </c>
      <c r="H27" s="351"/>
      <c r="I27" s="351"/>
      <c r="J27" s="351"/>
      <c r="K27" s="351"/>
      <c r="L27" s="351"/>
      <c r="M27" s="351"/>
      <c r="N27" s="351"/>
      <c r="O27" s="278"/>
      <c r="P27" s="352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topLeftCell="B10" zoomScale="154" zoomScaleNormal="154" workbookViewId="0">
      <selection activeCell="J28" sqref="J28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44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84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28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27/05/63</v>
      </c>
      <c r="O2" s="91"/>
      <c r="P2" s="328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28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39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18926.5+1620+17961</f>
        <v>38507.5</v>
      </c>
      <c r="D5" s="92">
        <f>450+135+47561</f>
        <v>48146</v>
      </c>
      <c r="E5" s="92">
        <f>31620+26750+1620</f>
        <v>59990</v>
      </c>
      <c r="F5" s="92">
        <f>2890+3680+3240+445.12+22474.62</f>
        <v>32729.739999999998</v>
      </c>
      <c r="G5" s="92">
        <v>42297</v>
      </c>
      <c r="H5" s="92">
        <v>42282.770000000004</v>
      </c>
      <c r="I5" s="92">
        <f>23856+21000+5600+5100+11128</f>
        <v>66684</v>
      </c>
      <c r="J5" s="92">
        <f>35223+13972+1650</f>
        <v>50845</v>
      </c>
      <c r="K5" s="92"/>
      <c r="L5" s="92"/>
      <c r="M5" s="92"/>
      <c r="N5" s="92"/>
      <c r="O5" s="305">
        <f>SUM(C5:N5)</f>
        <v>381482.01</v>
      </c>
      <c r="P5" s="340">
        <f>O5/$O$23</f>
        <v>0.19199096602411936</v>
      </c>
    </row>
    <row r="6" spans="1:17" s="20" customFormat="1" ht="19.5" customHeight="1" x14ac:dyDescent="0.2">
      <c r="A6" s="5">
        <v>2</v>
      </c>
      <c r="B6" s="34" t="s">
        <v>19</v>
      </c>
      <c r="C6" s="92">
        <f>16812+810</f>
        <v>17622</v>
      </c>
      <c r="D6" s="92">
        <f>1620+9900+18755</f>
        <v>30275</v>
      </c>
      <c r="E6" s="92">
        <f>642+640+28882+810</f>
        <v>30974</v>
      </c>
      <c r="F6" s="92">
        <f>20318+3680</f>
        <v>23998</v>
      </c>
      <c r="G6" s="92">
        <v>31605.82</v>
      </c>
      <c r="H6" s="92">
        <v>54818.5</v>
      </c>
      <c r="I6" s="92">
        <f>9810+14124+2140+4200+1344</f>
        <v>31618</v>
      </c>
      <c r="J6" s="92">
        <f>2902+20912+1284</f>
        <v>25098</v>
      </c>
      <c r="K6" s="92"/>
      <c r="L6" s="92"/>
      <c r="M6" s="92"/>
      <c r="N6" s="92"/>
      <c r="O6" s="305">
        <f t="shared" ref="O6:O22" si="0">SUM(C6:N6)</f>
        <v>246009.32</v>
      </c>
      <c r="P6" s="340">
        <f t="shared" ref="P6:P27" si="1">O6/$O$23</f>
        <v>0.12381073224851863</v>
      </c>
    </row>
    <row r="7" spans="1:17" s="20" customFormat="1" ht="19.5" customHeight="1" x14ac:dyDescent="0.2">
      <c r="A7" s="5">
        <v>3</v>
      </c>
      <c r="B7" s="34" t="s">
        <v>20</v>
      </c>
      <c r="C7" s="92">
        <f>5480+810+2961.5</f>
        <v>9251.5</v>
      </c>
      <c r="D7" s="92">
        <v>5630</v>
      </c>
      <c r="E7" s="92">
        <f>7282+15160+810</f>
        <v>23252</v>
      </c>
      <c r="F7" s="92">
        <f>6784+7456.5</f>
        <v>14240.5</v>
      </c>
      <c r="G7" s="92">
        <v>13159.15</v>
      </c>
      <c r="H7" s="92">
        <v>450</v>
      </c>
      <c r="I7" s="92">
        <f>24022.5+1120+3855+280</f>
        <v>29277.5</v>
      </c>
      <c r="J7" s="92">
        <v>10208.5</v>
      </c>
      <c r="K7" s="92"/>
      <c r="L7" s="92"/>
      <c r="M7" s="92"/>
      <c r="N7" s="92"/>
      <c r="O7" s="305">
        <f t="shared" si="0"/>
        <v>105469.15</v>
      </c>
      <c r="P7" s="340">
        <f t="shared" si="1"/>
        <v>5.3080154406869008E-2</v>
      </c>
    </row>
    <row r="8" spans="1:17" s="20" customFormat="1" ht="19.5" customHeight="1" x14ac:dyDescent="0.2">
      <c r="A8" s="5">
        <v>4</v>
      </c>
      <c r="B8" s="34" t="s">
        <v>21</v>
      </c>
      <c r="C8" s="92">
        <v>4173</v>
      </c>
      <c r="D8" s="92">
        <f>4650+51444+3240</f>
        <v>59334</v>
      </c>
      <c r="E8" s="92">
        <v>25112</v>
      </c>
      <c r="F8" s="92">
        <f>23940</f>
        <v>23940</v>
      </c>
      <c r="G8" s="92">
        <v>5564</v>
      </c>
      <c r="H8" s="92">
        <v>46782</v>
      </c>
      <c r="I8" s="92">
        <f>16604+17734</f>
        <v>34338</v>
      </c>
      <c r="J8" s="92">
        <f>15980+2675</f>
        <v>18655</v>
      </c>
      <c r="K8" s="92"/>
      <c r="L8" s="92"/>
      <c r="M8" s="92"/>
      <c r="N8" s="92"/>
      <c r="O8" s="305">
        <f t="shared" si="0"/>
        <v>217898</v>
      </c>
      <c r="P8" s="340">
        <f t="shared" si="1"/>
        <v>0.10966296291330634</v>
      </c>
    </row>
    <row r="9" spans="1:17" s="20" customFormat="1" ht="19.5" customHeight="1" x14ac:dyDescent="0.2">
      <c r="A9" s="5">
        <v>5</v>
      </c>
      <c r="B9" s="34" t="s">
        <v>2</v>
      </c>
      <c r="C9" s="92">
        <f>1255.5+875+30604.5+810</f>
        <v>33545</v>
      </c>
      <c r="D9" s="92">
        <v>3700</v>
      </c>
      <c r="E9" s="92">
        <f>2484+1300+810+8609.5+972</f>
        <v>14175.5</v>
      </c>
      <c r="F9" s="92">
        <f>12956</f>
        <v>12956</v>
      </c>
      <c r="G9" s="92">
        <v>5710</v>
      </c>
      <c r="H9" s="92">
        <v>8402</v>
      </c>
      <c r="I9" s="92">
        <f>11154.75+1300+9877+560</f>
        <v>22891.75</v>
      </c>
      <c r="J9" s="92">
        <f>14848+535</f>
        <v>15383</v>
      </c>
      <c r="K9" s="92"/>
      <c r="L9" s="92"/>
      <c r="M9" s="92"/>
      <c r="N9" s="92"/>
      <c r="O9" s="305">
        <f t="shared" si="0"/>
        <v>116763.25</v>
      </c>
      <c r="P9" s="340">
        <f t="shared" si="1"/>
        <v>5.8764210568188403E-2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6166+972</f>
        <v>7138</v>
      </c>
      <c r="D10" s="92">
        <v>1764</v>
      </c>
      <c r="E10" s="92">
        <f>12522+810</f>
        <v>13332</v>
      </c>
      <c r="F10" s="92">
        <f>6414+3005.5</f>
        <v>9419.5</v>
      </c>
      <c r="G10" s="92">
        <v>6945.5</v>
      </c>
      <c r="H10" s="92">
        <v>14463.5</v>
      </c>
      <c r="I10" s="92">
        <f>3919.5+450+540</f>
        <v>4909.5</v>
      </c>
      <c r="J10" s="92">
        <v>450</v>
      </c>
      <c r="K10" s="92"/>
      <c r="L10" s="92"/>
      <c r="M10" s="92"/>
      <c r="N10" s="92"/>
      <c r="O10" s="305">
        <f t="shared" si="0"/>
        <v>58422</v>
      </c>
      <c r="P10" s="340">
        <f t="shared" si="1"/>
        <v>2.9402425076509114E-2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17460+1620</f>
        <v>19080</v>
      </c>
      <c r="D11" s="92">
        <v>2625</v>
      </c>
      <c r="E11" s="92">
        <f>810+6260</f>
        <v>7070</v>
      </c>
      <c r="F11" s="92">
        <f>18107.5+810</f>
        <v>18917.5</v>
      </c>
      <c r="G11" s="92">
        <v>12716</v>
      </c>
      <c r="H11" s="92">
        <f>3370</f>
        <v>3370</v>
      </c>
      <c r="I11" s="92">
        <f>11902</f>
        <v>11902</v>
      </c>
      <c r="J11" s="92">
        <f>12937.5+642</f>
        <v>13579.5</v>
      </c>
      <c r="K11" s="92"/>
      <c r="L11" s="92"/>
      <c r="M11" s="92"/>
      <c r="N11" s="92"/>
      <c r="O11" s="305">
        <f t="shared" si="0"/>
        <v>89260</v>
      </c>
      <c r="P11" s="340">
        <f t="shared" si="1"/>
        <v>4.4922468630468039E-2</v>
      </c>
    </row>
    <row r="12" spans="1:17" s="20" customFormat="1" ht="19.5" customHeight="1" x14ac:dyDescent="0.2">
      <c r="A12" s="5">
        <v>8</v>
      </c>
      <c r="B12" s="34" t="s">
        <v>5</v>
      </c>
      <c r="C12" s="92">
        <v>2915.5</v>
      </c>
      <c r="D12" s="92">
        <f>810+2140+810+11702</f>
        <v>15462</v>
      </c>
      <c r="E12" s="92">
        <f>3390+1620+16677.5</f>
        <v>21687.5</v>
      </c>
      <c r="F12" s="92">
        <f>6363+74</f>
        <v>6437</v>
      </c>
      <c r="G12" s="92">
        <v>19881</v>
      </c>
      <c r="H12" s="92">
        <f>840+7916+5625+9933+6465+21064.5</f>
        <v>51843.5</v>
      </c>
      <c r="I12" s="92">
        <f>11213+560</f>
        <v>11773</v>
      </c>
      <c r="J12" s="92">
        <f>13325+10840+535</f>
        <v>24700</v>
      </c>
      <c r="K12" s="92"/>
      <c r="L12" s="92"/>
      <c r="M12" s="92"/>
      <c r="N12" s="92"/>
      <c r="O12" s="305">
        <f t="shared" si="0"/>
        <v>154699.5</v>
      </c>
      <c r="P12" s="340">
        <f t="shared" si="1"/>
        <v>7.785663719358156E-2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5320</v>
      </c>
      <c r="D13" s="92">
        <f>180+214</f>
        <v>394</v>
      </c>
      <c r="E13" s="92">
        <f>1662+324</f>
        <v>1986</v>
      </c>
      <c r="F13" s="92">
        <f>6970+6750+1070</f>
        <v>14790</v>
      </c>
      <c r="G13" s="92">
        <v>14093</v>
      </c>
      <c r="H13" s="92">
        <f>2088</f>
        <v>2088</v>
      </c>
      <c r="I13" s="92">
        <f>13980+680+972+540+1680</f>
        <v>17852</v>
      </c>
      <c r="J13" s="92">
        <f>4592+428</f>
        <v>5020</v>
      </c>
      <c r="K13" s="92"/>
      <c r="L13" s="92"/>
      <c r="M13" s="92"/>
      <c r="N13" s="92"/>
      <c r="O13" s="305">
        <f t="shared" si="0"/>
        <v>61543</v>
      </c>
      <c r="P13" s="340">
        <f t="shared" si="1"/>
        <v>3.0973151321139303E-2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2731</v>
      </c>
      <c r="D14" s="92">
        <v>0</v>
      </c>
      <c r="E14" s="92">
        <f>4650</f>
        <v>4650</v>
      </c>
      <c r="F14" s="92">
        <f>3919.1+3001.25</f>
        <v>6920.35</v>
      </c>
      <c r="G14" s="92">
        <v>5519</v>
      </c>
      <c r="H14" s="92">
        <f>5771+10023.5+1120</f>
        <v>16914.5</v>
      </c>
      <c r="I14" s="92">
        <v>0</v>
      </c>
      <c r="J14" s="92">
        <f>7152.5</f>
        <v>7152.5</v>
      </c>
      <c r="K14" s="92"/>
      <c r="L14" s="92"/>
      <c r="M14" s="92"/>
      <c r="N14" s="92"/>
      <c r="O14" s="305">
        <f t="shared" si="0"/>
        <v>43887.35</v>
      </c>
      <c r="P14" s="340">
        <f t="shared" si="1"/>
        <v>2.2087475953947694E-2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12152+810</f>
        <v>12962</v>
      </c>
      <c r="D15" s="92">
        <f>9900+2500+5566.5+810</f>
        <v>18776.5</v>
      </c>
      <c r="E15" s="92">
        <f>9005+2250</f>
        <v>11255</v>
      </c>
      <c r="F15" s="92">
        <f>10057+1850+4500+1620+972</f>
        <v>18999</v>
      </c>
      <c r="G15" s="92">
        <v>13849</v>
      </c>
      <c r="H15" s="92">
        <f>10577.5+24080+840</f>
        <v>35497.5</v>
      </c>
      <c r="I15" s="92">
        <f>450+2140</f>
        <v>2590</v>
      </c>
      <c r="J15" s="92">
        <v>7352</v>
      </c>
      <c r="K15" s="92"/>
      <c r="L15" s="92"/>
      <c r="M15" s="92"/>
      <c r="N15" s="92"/>
      <c r="O15" s="305">
        <f t="shared" si="0"/>
        <v>121281</v>
      </c>
      <c r="P15" s="340">
        <f t="shared" si="1"/>
        <v>6.1037888393141317E-2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1325+162</f>
        <v>1487</v>
      </c>
      <c r="D16" s="92">
        <f>4844.5+370+324</f>
        <v>5538.5</v>
      </c>
      <c r="E16" s="92">
        <v>3983.5</v>
      </c>
      <c r="F16" s="92">
        <f>3332.5+500+180+1350</f>
        <v>5362.5</v>
      </c>
      <c r="G16" s="92">
        <v>5047.5</v>
      </c>
      <c r="H16" s="92">
        <v>6900.25</v>
      </c>
      <c r="I16" s="92">
        <f>8792+1350+840</f>
        <v>10982</v>
      </c>
      <c r="J16" s="92">
        <f>8340.84+535</f>
        <v>8875.84</v>
      </c>
      <c r="K16" s="92"/>
      <c r="L16" s="92"/>
      <c r="M16" s="92"/>
      <c r="N16" s="92"/>
      <c r="O16" s="305">
        <f t="shared" si="0"/>
        <v>48177.09</v>
      </c>
      <c r="P16" s="340">
        <f t="shared" si="1"/>
        <v>2.4246401683085762E-2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2782</v>
      </c>
      <c r="D17" s="92">
        <v>1730</v>
      </c>
      <c r="E17" s="92">
        <f>1156+810+9750</f>
        <v>11716</v>
      </c>
      <c r="F17" s="92">
        <f>7173.25</f>
        <v>7173.25</v>
      </c>
      <c r="G17" s="92">
        <v>11686.1</v>
      </c>
      <c r="H17" s="92">
        <v>0</v>
      </c>
      <c r="I17" s="92">
        <f>6626+280+10300.75+560</f>
        <v>17766.75</v>
      </c>
      <c r="J17" s="92">
        <f>12410+535</f>
        <v>12945</v>
      </c>
      <c r="K17" s="92"/>
      <c r="L17" s="92"/>
      <c r="M17" s="92"/>
      <c r="N17" s="92"/>
      <c r="O17" s="305">
        <f t="shared" si="0"/>
        <v>65799.100000000006</v>
      </c>
      <c r="P17" s="340">
        <f t="shared" si="1"/>
        <v>3.3115146825711733E-2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2130</v>
      </c>
      <c r="D18" s="92">
        <v>0</v>
      </c>
      <c r="E18" s="92">
        <f>11654.25+648</f>
        <v>12302.25</v>
      </c>
      <c r="F18" s="92">
        <v>0</v>
      </c>
      <c r="G18" s="92">
        <v>4938</v>
      </c>
      <c r="H18" s="92">
        <v>0</v>
      </c>
      <c r="I18" s="92">
        <f>5879+875+392</f>
        <v>7146</v>
      </c>
      <c r="J18" s="92">
        <f>1950</f>
        <v>1950</v>
      </c>
      <c r="K18" s="92"/>
      <c r="L18" s="92"/>
      <c r="M18" s="92"/>
      <c r="N18" s="92"/>
      <c r="O18" s="305">
        <f t="shared" si="0"/>
        <v>28466.25</v>
      </c>
      <c r="P18" s="340">
        <f t="shared" si="1"/>
        <v>1.4326397296124364E-2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2294+1620</f>
        <v>3914</v>
      </c>
      <c r="D19" s="92">
        <f>4342+810</f>
        <v>5152</v>
      </c>
      <c r="E19" s="92">
        <f>5242</f>
        <v>5242</v>
      </c>
      <c r="F19" s="92">
        <f>10275.5+1391+810</f>
        <v>12476.5</v>
      </c>
      <c r="G19" s="92">
        <v>0</v>
      </c>
      <c r="H19" s="92">
        <f>11009</f>
        <v>11009</v>
      </c>
      <c r="I19" s="92">
        <f>1120+6272</f>
        <v>7392</v>
      </c>
      <c r="J19" s="92">
        <v>3838</v>
      </c>
      <c r="K19" s="92"/>
      <c r="L19" s="92"/>
      <c r="M19" s="92"/>
      <c r="N19" s="92"/>
      <c r="O19" s="305">
        <f t="shared" si="0"/>
        <v>49023.5</v>
      </c>
      <c r="P19" s="340">
        <f t="shared" si="1"/>
        <v>2.4672380023591192E-2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f>5500.5+486</f>
        <v>5986.5</v>
      </c>
      <c r="E20" s="92">
        <f>5008+2610+1734</f>
        <v>9352</v>
      </c>
      <c r="F20" s="92">
        <f>4656</f>
        <v>4656</v>
      </c>
      <c r="G20" s="92">
        <v>9085</v>
      </c>
      <c r="H20" s="92">
        <f>5671+1840+2250</f>
        <v>9761</v>
      </c>
      <c r="I20" s="92">
        <f>750+5707+2250+168+1070+2100</f>
        <v>12045</v>
      </c>
      <c r="J20" s="92">
        <f>10451+802.5</f>
        <v>11253.5</v>
      </c>
      <c r="K20" s="92"/>
      <c r="L20" s="92"/>
      <c r="M20" s="92"/>
      <c r="N20" s="92"/>
      <c r="O20" s="305">
        <f t="shared" si="0"/>
        <v>62139</v>
      </c>
      <c r="P20" s="340">
        <f t="shared" si="1"/>
        <v>3.1273104170161922E-2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f>1963+7811+486</f>
        <v>10260</v>
      </c>
      <c r="D21" s="92">
        <v>10561</v>
      </c>
      <c r="E21" s="92">
        <f>5029+1391+450+324</f>
        <v>7194</v>
      </c>
      <c r="F21" s="92">
        <f>4812+1104+4306</f>
        <v>10222</v>
      </c>
      <c r="G21" s="92">
        <v>9082</v>
      </c>
      <c r="H21" s="92">
        <f>6805+1840+1070+1428</f>
        <v>11143</v>
      </c>
      <c r="I21" s="92">
        <f>6090+15359+2100+1400</f>
        <v>24949</v>
      </c>
      <c r="J21" s="92">
        <f>535+7177</f>
        <v>7712</v>
      </c>
      <c r="K21" s="92"/>
      <c r="L21" s="92"/>
      <c r="M21" s="92"/>
      <c r="N21" s="92"/>
      <c r="O21" s="305">
        <f t="shared" si="0"/>
        <v>91123</v>
      </c>
      <c r="P21" s="340">
        <f t="shared" si="1"/>
        <v>4.5860072921959878E-2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10850.5+810</f>
        <v>11660.5</v>
      </c>
      <c r="E22" s="92">
        <f>3841+160.5+390+428</f>
        <v>4819.5</v>
      </c>
      <c r="F22" s="92">
        <v>0</v>
      </c>
      <c r="G22" s="92">
        <v>5708.28</v>
      </c>
      <c r="H22" s="92">
        <f>56+2992.75</f>
        <v>3048.75</v>
      </c>
      <c r="I22" s="92">
        <f>2305.75+336+2100+500+1350+336</f>
        <v>6927.75</v>
      </c>
      <c r="J22" s="92">
        <f>2065.63+700+64.2</f>
        <v>2829.83</v>
      </c>
      <c r="K22" s="92"/>
      <c r="L22" s="92"/>
      <c r="M22" s="92"/>
      <c r="N22" s="92"/>
      <c r="O22" s="305">
        <f t="shared" si="0"/>
        <v>34994.61</v>
      </c>
      <c r="P22" s="340">
        <f t="shared" si="1"/>
        <v>1.7611968070361451E-2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356">
        <f>C21+C20+C19+C18+C17+C16+C15+C14+C13+C12+C11+C10+C9+C8+C7+C6+C5</f>
        <v>173818.5</v>
      </c>
      <c r="D23" s="96">
        <f>D22+D21+D20+D19+D18+D17+D16+D15+D14+D13+D12+D11+D10+D9+D8+D7+D6+D5</f>
        <v>226735</v>
      </c>
      <c r="E23" s="96">
        <f>E21+E22+E20+E19+E18+E17+E16+E15+E14+E13+E12+E11+E10+E9+E8+E7+E6+E5</f>
        <v>268093.25</v>
      </c>
      <c r="F23" s="96">
        <f>F22+F21+F20+F19+F18+F17+F16+F15+F14+F13+F12+F11+F10+F9+F8+F7+F6+F5</f>
        <v>223237.84</v>
      </c>
      <c r="G23" s="96">
        <f>G22+G21+G20+G19+G18+G17+G16+G15+G14+G13+G12+G11+G10+G9+G8+G7+G6+G5</f>
        <v>216886.35</v>
      </c>
      <c r="H23" s="96">
        <f>H5+H6+H7+H8+H9+H10+H11+H12+H13+H14+H15+H16+H17+H18+H19+H20+H21+H22</f>
        <v>318774.27</v>
      </c>
      <c r="I23" s="96">
        <f>I5+I6+I7+I8+I9+I10+I11+I12+I13+I14+I15+I16+I17+I18+I19+I20+I21+I22</f>
        <v>321044.25</v>
      </c>
      <c r="J23" s="96">
        <f>J5+J6+J7+J8+J9+J10+J11+J12+J13+J14+J15+J16+J17+J18+J19+J20+J21+J22+J21+J22</f>
        <v>238389.49999999997</v>
      </c>
      <c r="K23" s="96"/>
      <c r="L23" s="96"/>
      <c r="M23" s="96"/>
      <c r="N23" s="96"/>
      <c r="O23" s="306">
        <f t="shared" ref="O23:O26" si="2">SUM(C23:N23)</f>
        <v>1986978.96</v>
      </c>
      <c r="P23" s="341">
        <f t="shared" si="1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12303+6300+1620</f>
        <v>20223</v>
      </c>
      <c r="D24" s="93">
        <f>5790+9007</f>
        <v>14797</v>
      </c>
      <c r="E24" s="93">
        <f>4782.9+18492.2+486</f>
        <v>23761.1</v>
      </c>
      <c r="F24" s="93">
        <f>3014+4500+14442</f>
        <v>21956</v>
      </c>
      <c r="G24" s="93">
        <f>20689+7094+4200</f>
        <v>31983</v>
      </c>
      <c r="H24" s="93">
        <f>2600+1680+1651.5+2086.5+1840+9521</f>
        <v>19379</v>
      </c>
      <c r="I24" s="93">
        <f>21087.97+1284+2250+1680</f>
        <v>26301.97</v>
      </c>
      <c r="J24" s="93">
        <f>34829.2+1605</f>
        <v>36434.199999999997</v>
      </c>
      <c r="K24" s="93"/>
      <c r="L24" s="93"/>
      <c r="M24" s="93"/>
      <c r="N24" s="93"/>
      <c r="O24" s="307">
        <f t="shared" si="2"/>
        <v>194835.27000000002</v>
      </c>
      <c r="P24" s="342">
        <f t="shared" si="1"/>
        <v>9.805603074931403E-2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07">
        <f t="shared" si="2"/>
        <v>0</v>
      </c>
      <c r="P25" s="342">
        <f t="shared" si="1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08">
        <f t="shared" si="2"/>
        <v>0</v>
      </c>
      <c r="P26" s="343">
        <f t="shared" si="1"/>
        <v>0</v>
      </c>
    </row>
    <row r="27" spans="1:16" s="134" customFormat="1" ht="22.5" customHeight="1" x14ac:dyDescent="0.2">
      <c r="A27" s="155" t="s">
        <v>26</v>
      </c>
      <c r="B27" s="159" t="s">
        <v>25</v>
      </c>
      <c r="C27" s="357">
        <f>C23+C24</f>
        <v>194041.5</v>
      </c>
      <c r="D27" s="158">
        <f>D23+D24</f>
        <v>241532</v>
      </c>
      <c r="E27" s="158">
        <f>E23+E24</f>
        <v>291854.34999999998</v>
      </c>
      <c r="F27" s="158">
        <f>F24+F23</f>
        <v>245193.84</v>
      </c>
      <c r="G27" s="158">
        <f>G24+G23</f>
        <v>248869.35</v>
      </c>
      <c r="H27" s="158">
        <f>H24+H23</f>
        <v>338153.27</v>
      </c>
      <c r="I27" s="158">
        <f>I24+I23</f>
        <v>347346.22</v>
      </c>
      <c r="J27" s="357">
        <f>J24+J23</f>
        <v>274823.69999999995</v>
      </c>
      <c r="K27" s="158"/>
      <c r="L27" s="158"/>
      <c r="M27" s="158"/>
      <c r="N27" s="158"/>
      <c r="O27" s="158">
        <f>SUM(C27:N27)</f>
        <v>2181814.23</v>
      </c>
      <c r="P27" s="330">
        <f t="shared" si="1"/>
        <v>1.0980560307493141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0" t="s">
        <v>71</v>
      </c>
      <c r="H30" s="360"/>
      <c r="I30" s="360"/>
      <c r="J30" s="56"/>
      <c r="K30" s="56"/>
      <c r="L30" s="360" t="s">
        <v>49</v>
      </c>
      <c r="M30" s="360"/>
      <c r="N30" s="360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4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6" customWidth="1"/>
    <col min="16" max="16" width="9.5" style="335" customWidth="1"/>
    <col min="17" max="16384" width="9" style="114"/>
  </cols>
  <sheetData>
    <row r="1" spans="1:17" s="176" customFormat="1" ht="21" customHeight="1" x14ac:dyDescent="0.45">
      <c r="A1" s="175"/>
      <c r="C1" s="177"/>
      <c r="D1" s="178" t="s">
        <v>63</v>
      </c>
      <c r="E1" s="177"/>
      <c r="F1" s="177"/>
      <c r="G1" s="177"/>
      <c r="H1" s="177"/>
      <c r="K1" s="178" t="s">
        <v>55</v>
      </c>
      <c r="L1" s="177"/>
      <c r="M1" s="177"/>
      <c r="N1" s="177"/>
      <c r="O1" s="177"/>
      <c r="P1" s="334"/>
      <c r="Q1" s="179"/>
    </row>
    <row r="2" spans="1:17" s="176" customFormat="1" ht="21" customHeight="1" x14ac:dyDescent="0.45">
      <c r="A2" s="175"/>
      <c r="C2" s="178" t="str">
        <f>'[1]1.1.ยา(ทั่วไป)'!C2</f>
        <v>จาก ฝ่ายเภสัชกรรมชุมชน  โรงพยาบาลกุมภวาปี</v>
      </c>
      <c r="D2" s="177"/>
      <c r="F2" s="177"/>
      <c r="G2" s="177"/>
      <c r="I2" s="177"/>
      <c r="J2" s="177"/>
      <c r="K2" s="177"/>
      <c r="M2" s="180"/>
      <c r="N2" s="181"/>
      <c r="O2" s="182"/>
      <c r="P2" s="334"/>
      <c r="Q2" s="179"/>
    </row>
    <row r="3" spans="1:17" s="171" customFormat="1" ht="4.5" customHeight="1" x14ac:dyDescent="0.45">
      <c r="O3" s="169"/>
      <c r="P3" s="335"/>
    </row>
    <row r="4" spans="1:17" s="171" customFormat="1" ht="18" customHeight="1" x14ac:dyDescent="0.45">
      <c r="A4" s="172" t="s">
        <v>0</v>
      </c>
      <c r="B4" s="173" t="s">
        <v>1</v>
      </c>
      <c r="C4" s="173" t="s">
        <v>27</v>
      </c>
      <c r="D4" s="173" t="s">
        <v>28</v>
      </c>
      <c r="E4" s="173" t="s">
        <v>29</v>
      </c>
      <c r="F4" s="173" t="s">
        <v>30</v>
      </c>
      <c r="G4" s="173" t="s">
        <v>31</v>
      </c>
      <c r="H4" s="173" t="s">
        <v>32</v>
      </c>
      <c r="I4" s="173" t="s">
        <v>33</v>
      </c>
      <c r="J4" s="173" t="s">
        <v>34</v>
      </c>
      <c r="K4" s="173" t="s">
        <v>35</v>
      </c>
      <c r="L4" s="173" t="s">
        <v>36</v>
      </c>
      <c r="M4" s="173" t="s">
        <v>37</v>
      </c>
      <c r="N4" s="173" t="s">
        <v>38</v>
      </c>
      <c r="O4" s="173" t="s">
        <v>39</v>
      </c>
      <c r="P4" s="336" t="s">
        <v>40</v>
      </c>
    </row>
    <row r="5" spans="1:17" ht="18" customHeight="1" x14ac:dyDescent="0.45">
      <c r="A5" s="116">
        <v>1</v>
      </c>
      <c r="B5" s="117" t="s">
        <v>18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21"/>
      <c r="P5" s="313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21"/>
      <c r="P6" s="313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21"/>
      <c r="P7" s="313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21"/>
      <c r="P8" s="313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21"/>
      <c r="P9" s="313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21"/>
      <c r="P10" s="313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21"/>
      <c r="P11" s="313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21"/>
      <c r="P12" s="313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221"/>
      <c r="P13" s="313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221"/>
      <c r="P14" s="313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221"/>
      <c r="P15" s="313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21"/>
      <c r="P16" s="313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221"/>
      <c r="P17" s="313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221"/>
      <c r="P18" s="313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221"/>
      <c r="P19" s="313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221"/>
      <c r="P20" s="313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221"/>
      <c r="P21" s="313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21"/>
      <c r="P22" s="313" t="e">
        <f t="shared" si="0"/>
        <v>#DIV/0!</v>
      </c>
    </row>
    <row r="23" spans="1:16" s="174" customFormat="1" ht="18" customHeight="1" x14ac:dyDescent="0.45">
      <c r="A23" s="186">
        <v>5.4166666666666669E-2</v>
      </c>
      <c r="B23" s="187" t="s">
        <v>22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02"/>
      <c r="P23" s="314" t="e">
        <f t="shared" si="0"/>
        <v>#DIV/0!</v>
      </c>
    </row>
    <row r="24" spans="1:16" ht="18" customHeight="1" x14ac:dyDescent="0.45">
      <c r="A24" s="120">
        <v>20</v>
      </c>
      <c r="B24" s="184" t="s">
        <v>16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303">
        <f t="shared" ref="O24:O27" si="1">SUM(C24:N24)</f>
        <v>0</v>
      </c>
      <c r="P24" s="337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303">
        <f t="shared" si="1"/>
        <v>0</v>
      </c>
      <c r="P25" s="337" t="e">
        <f t="shared" si="0"/>
        <v>#DIV/0!</v>
      </c>
    </row>
    <row r="26" spans="1:16" s="174" customFormat="1" ht="18" customHeight="1" x14ac:dyDescent="0.45">
      <c r="A26" s="189" t="s">
        <v>24</v>
      </c>
      <c r="B26" s="190" t="s">
        <v>23</v>
      </c>
      <c r="C26" s="191">
        <f>C24+C25</f>
        <v>0</v>
      </c>
      <c r="D26" s="191">
        <f t="shared" ref="D26:N26" si="2">D24+D25</f>
        <v>0</v>
      </c>
      <c r="E26" s="191">
        <f t="shared" si="2"/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91">
        <f t="shared" si="2"/>
        <v>0</v>
      </c>
      <c r="M26" s="191">
        <f t="shared" si="2"/>
        <v>0</v>
      </c>
      <c r="N26" s="191">
        <f t="shared" si="2"/>
        <v>0</v>
      </c>
      <c r="O26" s="304">
        <f t="shared" si="1"/>
        <v>0</v>
      </c>
      <c r="P26" s="318" t="e">
        <f t="shared" si="0"/>
        <v>#DIV/0!</v>
      </c>
    </row>
    <row r="27" spans="1:16" s="211" customFormat="1" ht="18" customHeight="1" x14ac:dyDescent="0.45">
      <c r="A27" s="209" t="s">
        <v>26</v>
      </c>
      <c r="B27" s="210" t="s">
        <v>25</v>
      </c>
      <c r="C27" s="205">
        <f>C23+C26</f>
        <v>0</v>
      </c>
      <c r="D27" s="205">
        <f t="shared" ref="D27:N27" si="3">D23+D26</f>
        <v>0</v>
      </c>
      <c r="E27" s="205">
        <f t="shared" si="3"/>
        <v>0</v>
      </c>
      <c r="F27" s="205">
        <f t="shared" si="3"/>
        <v>0</v>
      </c>
      <c r="G27" s="205">
        <f t="shared" si="3"/>
        <v>0</v>
      </c>
      <c r="H27" s="205">
        <f t="shared" si="3"/>
        <v>0</v>
      </c>
      <c r="I27" s="205">
        <f t="shared" si="3"/>
        <v>0</v>
      </c>
      <c r="J27" s="205">
        <f t="shared" si="3"/>
        <v>0</v>
      </c>
      <c r="K27" s="205">
        <f t="shared" si="3"/>
        <v>0</v>
      </c>
      <c r="L27" s="205">
        <f t="shared" si="3"/>
        <v>0</v>
      </c>
      <c r="M27" s="205">
        <f t="shared" si="3"/>
        <v>0</v>
      </c>
      <c r="N27" s="205">
        <f t="shared" si="3"/>
        <v>0</v>
      </c>
      <c r="O27" s="205">
        <f t="shared" si="1"/>
        <v>0</v>
      </c>
      <c r="P27" s="338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="160" zoomScaleNormal="160" workbookViewId="0">
      <selection activeCell="J25" sqref="J25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0" customWidth="1"/>
    <col min="16" max="16" width="14.5" style="323" customWidth="1"/>
    <col min="17" max="16384" width="9" style="27"/>
  </cols>
  <sheetData>
    <row r="1" spans="1:17" s="68" customFormat="1" ht="19.5" customHeight="1" x14ac:dyDescent="0.2">
      <c r="A1" s="80"/>
      <c r="B1" s="81"/>
      <c r="C1" s="147"/>
      <c r="D1" s="148" t="s">
        <v>64</v>
      </c>
      <c r="E1" s="147"/>
      <c r="F1" s="147"/>
      <c r="G1" s="147"/>
      <c r="H1" s="147"/>
      <c r="I1" s="67"/>
      <c r="J1" s="67"/>
      <c r="K1" s="148" t="str">
        <f>สรุปยอด!C3</f>
        <v xml:space="preserve"> ปีงบประมาณ   2562</v>
      </c>
      <c r="L1" s="147"/>
      <c r="M1" s="147"/>
      <c r="N1" s="147"/>
      <c r="O1" s="147"/>
      <c r="P1" s="322"/>
      <c r="Q1" s="83"/>
    </row>
    <row r="2" spans="1:17" s="68" customFormat="1" ht="19.5" customHeight="1" x14ac:dyDescent="0.2">
      <c r="A2" s="80"/>
      <c r="B2" s="81"/>
      <c r="C2" s="148" t="str">
        <f>'[1]1.1.ยา(ทั่วไป)'!C2</f>
        <v>จาก ฝ่ายเภสัชกรรมชุมชน  โรงพยาบาลกุมภวาปี</v>
      </c>
      <c r="D2" s="147"/>
      <c r="E2" s="67"/>
      <c r="F2" s="147"/>
      <c r="G2" s="147"/>
      <c r="H2" s="67"/>
      <c r="I2" s="147"/>
      <c r="J2" s="147"/>
      <c r="K2" s="147"/>
      <c r="L2" s="67"/>
      <c r="M2" s="149"/>
      <c r="N2" s="150" t="str">
        <f>สรุปยอด!D4</f>
        <v>รายงานข้อมูลณ วันที่ 27/05/63</v>
      </c>
      <c r="O2" s="147"/>
      <c r="P2" s="322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8" t="s">
        <v>39</v>
      </c>
      <c r="P4" s="317" t="s">
        <v>40</v>
      </c>
    </row>
    <row r="5" spans="1:17" ht="18" customHeight="1" x14ac:dyDescent="0.2">
      <c r="A5" s="25">
        <v>1</v>
      </c>
      <c r="B5" s="26" t="s">
        <v>18</v>
      </c>
      <c r="C5" s="129">
        <v>6323.06</v>
      </c>
      <c r="D5" s="129">
        <v>9638</v>
      </c>
      <c r="E5" s="129">
        <f>1562.4+6514.86</f>
        <v>8077.26</v>
      </c>
      <c r="F5" s="129">
        <v>16875.09</v>
      </c>
      <c r="G5" s="129">
        <v>9360.58</v>
      </c>
      <c r="H5" s="129">
        <v>6520.07</v>
      </c>
      <c r="I5" s="129">
        <v>14661.92</v>
      </c>
      <c r="J5" s="129">
        <v>9670.44</v>
      </c>
      <c r="K5" s="129"/>
      <c r="L5" s="129"/>
      <c r="M5" s="129"/>
      <c r="N5" s="129"/>
      <c r="O5" s="299">
        <f>SUM(C5:N5)</f>
        <v>81126.420000000013</v>
      </c>
      <c r="P5" s="286">
        <f t="shared" ref="P5:P27" si="0">O5/$O$23</f>
        <v>7.6609567186770963E-2</v>
      </c>
    </row>
    <row r="6" spans="1:17" ht="18" customHeight="1" x14ac:dyDescent="0.2">
      <c r="A6" s="25">
        <v>2</v>
      </c>
      <c r="B6" s="26" t="s">
        <v>19</v>
      </c>
      <c r="C6" s="129">
        <v>1980.78</v>
      </c>
      <c r="D6" s="129">
        <f>10233+4384</f>
        <v>14617</v>
      </c>
      <c r="E6" s="129">
        <f>3695</f>
        <v>3695</v>
      </c>
      <c r="F6" s="129">
        <v>6715.4</v>
      </c>
      <c r="G6" s="129">
        <v>6769.34</v>
      </c>
      <c r="H6" s="129">
        <v>8165.2</v>
      </c>
      <c r="I6" s="129">
        <v>6013.68</v>
      </c>
      <c r="J6" s="129">
        <v>8594.9500000000007</v>
      </c>
      <c r="K6" s="129"/>
      <c r="L6" s="129"/>
      <c r="M6" s="129"/>
      <c r="N6" s="129"/>
      <c r="O6" s="299">
        <f t="shared" ref="O6:O26" si="1">SUM(C6:N6)</f>
        <v>56551.350000000006</v>
      </c>
      <c r="P6" s="286">
        <f t="shared" si="0"/>
        <v>5.3402756430366329E-2</v>
      </c>
    </row>
    <row r="7" spans="1:17" ht="18" customHeight="1" x14ac:dyDescent="0.2">
      <c r="A7" s="25">
        <v>3</v>
      </c>
      <c r="B7" s="26" t="s">
        <v>20</v>
      </c>
      <c r="C7" s="129">
        <v>4337.5600000000004</v>
      </c>
      <c r="D7" s="129">
        <v>2375.1</v>
      </c>
      <c r="E7" s="129">
        <v>2934.31</v>
      </c>
      <c r="F7" s="129">
        <v>4006.9</v>
      </c>
      <c r="G7" s="129">
        <v>5568.15</v>
      </c>
      <c r="H7" s="129">
        <v>3722.88</v>
      </c>
      <c r="I7" s="129">
        <f>3953.84</f>
        <v>3953.84</v>
      </c>
      <c r="J7" s="129">
        <v>3985.93</v>
      </c>
      <c r="K7" s="129"/>
      <c r="L7" s="129"/>
      <c r="M7" s="129"/>
      <c r="N7" s="129"/>
      <c r="O7" s="299">
        <f t="shared" si="1"/>
        <v>30884.67</v>
      </c>
      <c r="P7" s="286">
        <f t="shared" si="0"/>
        <v>2.9165112936158762E-2</v>
      </c>
    </row>
    <row r="8" spans="1:17" ht="18" customHeight="1" x14ac:dyDescent="0.2">
      <c r="A8" s="25">
        <v>4</v>
      </c>
      <c r="B8" s="26" t="s">
        <v>21</v>
      </c>
      <c r="C8" s="129">
        <v>8261.0400000000009</v>
      </c>
      <c r="D8" s="129">
        <f>56701.24+79389.36</f>
        <v>136090.6</v>
      </c>
      <c r="E8" s="129">
        <v>5786.28</v>
      </c>
      <c r="F8" s="129">
        <v>82899.47</v>
      </c>
      <c r="G8" s="129">
        <v>14238.83</v>
      </c>
      <c r="H8" s="129">
        <v>8197.3700000000008</v>
      </c>
      <c r="I8" s="129">
        <f>10956.12</f>
        <v>10956.12</v>
      </c>
      <c r="J8" s="129">
        <v>6308.6</v>
      </c>
      <c r="K8" s="129"/>
      <c r="L8" s="129"/>
      <c r="M8" s="129"/>
      <c r="N8" s="129"/>
      <c r="O8" s="299">
        <f t="shared" si="1"/>
        <v>272738.31</v>
      </c>
      <c r="P8" s="286">
        <f t="shared" si="0"/>
        <v>0.2575531360110721</v>
      </c>
    </row>
    <row r="9" spans="1:17" ht="18" customHeight="1" x14ac:dyDescent="0.2">
      <c r="A9" s="25">
        <v>5</v>
      </c>
      <c r="B9" s="26" t="s">
        <v>2</v>
      </c>
      <c r="C9" s="129">
        <v>7310.59</v>
      </c>
      <c r="D9" s="129">
        <v>3037.13</v>
      </c>
      <c r="E9" s="129">
        <v>6688.79</v>
      </c>
      <c r="F9" s="129">
        <v>3728.48</v>
      </c>
      <c r="G9" s="129">
        <v>3358.12</v>
      </c>
      <c r="H9" s="129">
        <v>4739.4399999999996</v>
      </c>
      <c r="I9" s="129">
        <f>6390.04</f>
        <v>6390.04</v>
      </c>
      <c r="J9" s="129">
        <v>15669.07</v>
      </c>
      <c r="K9" s="129"/>
      <c r="L9" s="129"/>
      <c r="M9" s="129"/>
      <c r="N9" s="129"/>
      <c r="O9" s="299">
        <f t="shared" si="1"/>
        <v>50921.659999999996</v>
      </c>
      <c r="P9" s="286">
        <f t="shared" si="0"/>
        <v>4.8086509093238756E-2</v>
      </c>
    </row>
    <row r="10" spans="1:17" ht="18" customHeight="1" x14ac:dyDescent="0.2">
      <c r="A10" s="25">
        <v>6</v>
      </c>
      <c r="B10" s="26" t="s">
        <v>3</v>
      </c>
      <c r="C10" s="129">
        <v>4253.34</v>
      </c>
      <c r="D10" s="129">
        <v>4972.5600000000004</v>
      </c>
      <c r="E10" s="129">
        <v>2573.4299999999998</v>
      </c>
      <c r="F10" s="129">
        <v>5480.13</v>
      </c>
      <c r="G10" s="129">
        <v>10141.86</v>
      </c>
      <c r="H10" s="129">
        <v>7524.76</v>
      </c>
      <c r="I10" s="129">
        <v>3979.5</v>
      </c>
      <c r="J10" s="129">
        <v>14177.57</v>
      </c>
      <c r="K10" s="129"/>
      <c r="L10" s="129"/>
      <c r="M10" s="129"/>
      <c r="N10" s="129"/>
      <c r="O10" s="299">
        <f t="shared" si="1"/>
        <v>53103.15</v>
      </c>
      <c r="P10" s="286">
        <f t="shared" si="0"/>
        <v>5.0146540889566875E-2</v>
      </c>
    </row>
    <row r="11" spans="1:17" ht="18" customHeight="1" x14ac:dyDescent="0.2">
      <c r="A11" s="25">
        <v>7</v>
      </c>
      <c r="B11" s="26" t="s">
        <v>4</v>
      </c>
      <c r="C11" s="129">
        <v>2991.3</v>
      </c>
      <c r="D11" s="129">
        <v>2638.52</v>
      </c>
      <c r="E11" s="129">
        <v>5100.33</v>
      </c>
      <c r="F11" s="129">
        <v>4979.2</v>
      </c>
      <c r="G11" s="129">
        <v>8504.08</v>
      </c>
      <c r="H11" s="129">
        <v>5441.06</v>
      </c>
      <c r="I11" s="129">
        <v>4320.01</v>
      </c>
      <c r="J11" s="129">
        <v>6216.69</v>
      </c>
      <c r="K11" s="129"/>
      <c r="L11" s="129"/>
      <c r="M11" s="129"/>
      <c r="N11" s="129"/>
      <c r="O11" s="299">
        <f t="shared" si="1"/>
        <v>40191.19</v>
      </c>
      <c r="P11" s="286">
        <f t="shared" si="0"/>
        <v>3.7953476446036652E-2</v>
      </c>
    </row>
    <row r="12" spans="1:17" ht="18" customHeight="1" x14ac:dyDescent="0.2">
      <c r="A12" s="25">
        <v>8</v>
      </c>
      <c r="B12" s="26" t="s">
        <v>5</v>
      </c>
      <c r="C12" s="129">
        <v>5681.46</v>
      </c>
      <c r="D12" s="129">
        <v>6650.42</v>
      </c>
      <c r="E12" s="129">
        <v>5548.2</v>
      </c>
      <c r="F12" s="129">
        <v>10451.233</v>
      </c>
      <c r="G12" s="129">
        <v>15559.54</v>
      </c>
      <c r="H12" s="129">
        <v>5126.2</v>
      </c>
      <c r="I12" s="129">
        <v>12374.15</v>
      </c>
      <c r="J12" s="129">
        <v>7084.25</v>
      </c>
      <c r="K12" s="129"/>
      <c r="L12" s="129"/>
      <c r="M12" s="129"/>
      <c r="N12" s="129"/>
      <c r="O12" s="299">
        <f t="shared" si="1"/>
        <v>68475.453000000009</v>
      </c>
      <c r="P12" s="286">
        <f t="shared" si="0"/>
        <v>6.4662964509565157E-2</v>
      </c>
    </row>
    <row r="13" spans="1:17" ht="18" customHeight="1" x14ac:dyDescent="0.2">
      <c r="A13" s="25">
        <v>9</v>
      </c>
      <c r="B13" s="26" t="s">
        <v>6</v>
      </c>
      <c r="C13" s="129">
        <v>4926.6400000000003</v>
      </c>
      <c r="D13" s="129">
        <f>6697.74+3873.16</f>
        <v>10570.9</v>
      </c>
      <c r="E13" s="129">
        <v>6111.15</v>
      </c>
      <c r="F13" s="129">
        <v>3594.21</v>
      </c>
      <c r="G13" s="129">
        <v>5093.1400000000003</v>
      </c>
      <c r="H13" s="129">
        <v>6696.9</v>
      </c>
      <c r="I13" s="129">
        <v>5503.07</v>
      </c>
      <c r="J13" s="129">
        <v>3172.94</v>
      </c>
      <c r="K13" s="129"/>
      <c r="L13" s="129"/>
      <c r="M13" s="129"/>
      <c r="N13" s="129"/>
      <c r="O13" s="299">
        <f t="shared" si="1"/>
        <v>45668.950000000004</v>
      </c>
      <c r="P13" s="286">
        <f t="shared" si="0"/>
        <v>4.3126252746938459E-2</v>
      </c>
    </row>
    <row r="14" spans="1:17" ht="18" customHeight="1" x14ac:dyDescent="0.2">
      <c r="A14" s="25">
        <v>10</v>
      </c>
      <c r="B14" s="26" t="s">
        <v>7</v>
      </c>
      <c r="C14" s="129">
        <v>308.26</v>
      </c>
      <c r="D14" s="129">
        <f>4073.52</f>
        <v>4073.52</v>
      </c>
      <c r="E14" s="129">
        <v>3587.58</v>
      </c>
      <c r="F14" s="129">
        <v>5135.8599999999997</v>
      </c>
      <c r="G14" s="129">
        <v>6062.04</v>
      </c>
      <c r="H14" s="129">
        <v>2520.2800000000002</v>
      </c>
      <c r="I14" s="129">
        <v>5426.29</v>
      </c>
      <c r="J14" s="129">
        <v>0</v>
      </c>
      <c r="K14" s="129"/>
      <c r="L14" s="129"/>
      <c r="M14" s="129"/>
      <c r="N14" s="129"/>
      <c r="O14" s="299">
        <f t="shared" si="1"/>
        <v>27113.829999999998</v>
      </c>
      <c r="P14" s="286">
        <f t="shared" si="0"/>
        <v>2.5604220931672882E-2</v>
      </c>
    </row>
    <row r="15" spans="1:17" ht="18" customHeight="1" x14ac:dyDescent="0.2">
      <c r="A15" s="25">
        <v>11</v>
      </c>
      <c r="B15" s="26" t="s">
        <v>8</v>
      </c>
      <c r="C15" s="129">
        <v>2533.8200000000002</v>
      </c>
      <c r="D15" s="129">
        <f>4189.84</f>
        <v>4189.84</v>
      </c>
      <c r="E15" s="129">
        <v>2924.07</v>
      </c>
      <c r="F15" s="129">
        <v>3159.36</v>
      </c>
      <c r="G15" s="129">
        <v>7089.28</v>
      </c>
      <c r="H15" s="129">
        <v>2385.91</v>
      </c>
      <c r="I15" s="129">
        <v>3439.9</v>
      </c>
      <c r="J15" s="129">
        <v>4206.24</v>
      </c>
      <c r="K15" s="129"/>
      <c r="L15" s="129"/>
      <c r="M15" s="129"/>
      <c r="N15" s="129"/>
      <c r="O15" s="299">
        <f t="shared" si="1"/>
        <v>29928.42</v>
      </c>
      <c r="P15" s="286">
        <f t="shared" si="0"/>
        <v>2.8262103797799771E-2</v>
      </c>
    </row>
    <row r="16" spans="1:17" ht="18" customHeight="1" x14ac:dyDescent="0.2">
      <c r="A16" s="25">
        <v>12</v>
      </c>
      <c r="B16" s="26" t="s">
        <v>9</v>
      </c>
      <c r="C16" s="129">
        <v>1678.6</v>
      </c>
      <c r="D16" s="129">
        <v>9649.9599999999991</v>
      </c>
      <c r="E16" s="129">
        <v>3846.43</v>
      </c>
      <c r="F16" s="129">
        <v>0</v>
      </c>
      <c r="G16" s="129">
        <v>6407.54</v>
      </c>
      <c r="H16" s="129">
        <v>6716.58</v>
      </c>
      <c r="I16" s="129">
        <v>1329.38</v>
      </c>
      <c r="J16" s="129">
        <v>11368.28</v>
      </c>
      <c r="K16" s="129"/>
      <c r="L16" s="129"/>
      <c r="M16" s="129"/>
      <c r="N16" s="129"/>
      <c r="O16" s="299">
        <f t="shared" si="1"/>
        <v>40996.770000000004</v>
      </c>
      <c r="P16" s="286">
        <f t="shared" si="0"/>
        <v>3.8714204395505138E-2</v>
      </c>
    </row>
    <row r="17" spans="1:16" ht="18" customHeight="1" x14ac:dyDescent="0.2">
      <c r="A17" s="25">
        <v>13</v>
      </c>
      <c r="B17" s="26" t="s">
        <v>10</v>
      </c>
      <c r="C17" s="129">
        <v>3567.68</v>
      </c>
      <c r="D17" s="129">
        <v>5387.68</v>
      </c>
      <c r="E17" s="129">
        <v>6161.9</v>
      </c>
      <c r="F17" s="129">
        <v>2756.71</v>
      </c>
      <c r="G17" s="129">
        <v>11425.15</v>
      </c>
      <c r="H17" s="129">
        <f>885.42+6714.76</f>
        <v>7600.18</v>
      </c>
      <c r="I17" s="129">
        <v>4904.71</v>
      </c>
      <c r="J17" s="129">
        <v>4697.49</v>
      </c>
      <c r="K17" s="129"/>
      <c r="L17" s="129"/>
      <c r="M17" s="129"/>
      <c r="N17" s="129"/>
      <c r="O17" s="299">
        <f t="shared" si="1"/>
        <v>46501.5</v>
      </c>
      <c r="P17" s="286">
        <f t="shared" si="0"/>
        <v>4.3912449095320973E-2</v>
      </c>
    </row>
    <row r="18" spans="1:16" ht="18" customHeight="1" x14ac:dyDescent="0.2">
      <c r="A18" s="25">
        <v>14</v>
      </c>
      <c r="B18" s="26" t="s">
        <v>11</v>
      </c>
      <c r="C18" s="129">
        <v>2521.2199999999998</v>
      </c>
      <c r="D18" s="129">
        <v>5752.06</v>
      </c>
      <c r="E18" s="129">
        <v>2599.08</v>
      </c>
      <c r="F18" s="129">
        <v>4971.95</v>
      </c>
      <c r="G18" s="129">
        <f>3596.52+2032</f>
        <v>5628.52</v>
      </c>
      <c r="H18" s="129">
        <v>1804.36</v>
      </c>
      <c r="I18" s="129">
        <v>3407</v>
      </c>
      <c r="J18" s="129">
        <f>9577.46</f>
        <v>9577.4599999999991</v>
      </c>
      <c r="K18" s="129"/>
      <c r="L18" s="129"/>
      <c r="M18" s="129"/>
      <c r="N18" s="129"/>
      <c r="O18" s="299">
        <f t="shared" si="1"/>
        <v>36261.65</v>
      </c>
      <c r="P18" s="286">
        <f t="shared" si="0"/>
        <v>3.424272033670625E-2</v>
      </c>
    </row>
    <row r="19" spans="1:16" ht="18" customHeight="1" x14ac:dyDescent="0.2">
      <c r="A19" s="25">
        <v>15</v>
      </c>
      <c r="B19" s="26" t="s">
        <v>12</v>
      </c>
      <c r="C19" s="129">
        <v>6424.28</v>
      </c>
      <c r="D19" s="129">
        <f>6693.19+4548.94</f>
        <v>11242.13</v>
      </c>
      <c r="E19" s="129">
        <v>6468.87</v>
      </c>
      <c r="F19" s="129">
        <v>11254.95</v>
      </c>
      <c r="G19" s="129">
        <v>8144.62</v>
      </c>
      <c r="H19" s="129">
        <f>4852.91</f>
        <v>4852.91</v>
      </c>
      <c r="I19" s="129">
        <v>6237.5</v>
      </c>
      <c r="J19" s="129">
        <v>1823.81</v>
      </c>
      <c r="K19" s="129"/>
      <c r="L19" s="129"/>
      <c r="M19" s="129"/>
      <c r="N19" s="129"/>
      <c r="O19" s="299">
        <f t="shared" si="1"/>
        <v>56449.069999999992</v>
      </c>
      <c r="P19" s="286">
        <f t="shared" si="0"/>
        <v>5.3306171045089078E-2</v>
      </c>
    </row>
    <row r="20" spans="1:16" ht="18" customHeight="1" x14ac:dyDescent="0.2">
      <c r="A20" s="25">
        <v>16</v>
      </c>
      <c r="B20" s="128" t="s">
        <v>13</v>
      </c>
      <c r="C20" s="129">
        <v>3210.52</v>
      </c>
      <c r="D20" s="129">
        <v>548</v>
      </c>
      <c r="E20" s="129">
        <v>2642.5</v>
      </c>
      <c r="F20" s="129">
        <v>0</v>
      </c>
      <c r="G20" s="129">
        <v>4492.7</v>
      </c>
      <c r="H20" s="129">
        <v>3945.98</v>
      </c>
      <c r="I20" s="129">
        <v>2176.2399999999998</v>
      </c>
      <c r="J20" s="129">
        <v>4937.9799999999996</v>
      </c>
      <c r="K20" s="129"/>
      <c r="L20" s="129"/>
      <c r="M20" s="129"/>
      <c r="N20" s="129"/>
      <c r="O20" s="299">
        <f t="shared" si="1"/>
        <v>21953.920000000002</v>
      </c>
      <c r="P20" s="286">
        <f t="shared" si="0"/>
        <v>2.0731597785936993E-2</v>
      </c>
    </row>
    <row r="21" spans="1:16" ht="18" customHeight="1" x14ac:dyDescent="0.2">
      <c r="A21" s="25">
        <v>17</v>
      </c>
      <c r="B21" s="26" t="s">
        <v>14</v>
      </c>
      <c r="C21" s="129">
        <v>3170.49</v>
      </c>
      <c r="D21" s="129">
        <v>21853.26</v>
      </c>
      <c r="E21" s="129">
        <v>5346.44</v>
      </c>
      <c r="F21" s="129">
        <v>5780.16</v>
      </c>
      <c r="G21" s="129">
        <v>8819.68</v>
      </c>
      <c r="H21" s="129">
        <v>3654.66</v>
      </c>
      <c r="I21" s="129">
        <v>5366.4</v>
      </c>
      <c r="J21" s="129">
        <v>11681.92</v>
      </c>
      <c r="K21" s="129"/>
      <c r="L21" s="129"/>
      <c r="M21" s="129"/>
      <c r="N21" s="129"/>
      <c r="O21" s="299">
        <f t="shared" si="1"/>
        <v>65673.010000000009</v>
      </c>
      <c r="P21" s="286">
        <f t="shared" si="0"/>
        <v>6.2016552338344043E-2</v>
      </c>
    </row>
    <row r="22" spans="1:16" ht="18" customHeight="1" x14ac:dyDescent="0.2">
      <c r="A22" s="25">
        <v>18</v>
      </c>
      <c r="B22" s="26" t="s">
        <v>15</v>
      </c>
      <c r="C22" s="129">
        <f>7507.46+480-825-1300-1050</f>
        <v>4812.46</v>
      </c>
      <c r="D22" s="129">
        <v>6715.88</v>
      </c>
      <c r="E22" s="129">
        <v>3722.08</v>
      </c>
      <c r="F22" s="129">
        <v>0</v>
      </c>
      <c r="G22" s="129">
        <v>4076.2</v>
      </c>
      <c r="H22" s="129">
        <v>5763.94</v>
      </c>
      <c r="I22" s="129">
        <v>2084.27</v>
      </c>
      <c r="J22" s="129">
        <v>7245.23</v>
      </c>
      <c r="K22" s="129"/>
      <c r="L22" s="129"/>
      <c r="M22" s="129"/>
      <c r="N22" s="129"/>
      <c r="O22" s="299">
        <f t="shared" si="1"/>
        <v>34420.06</v>
      </c>
      <c r="P22" s="286">
        <f t="shared" si="0"/>
        <v>3.2503664023910916E-2</v>
      </c>
    </row>
    <row r="23" spans="1:16" s="48" customFormat="1" ht="18" customHeight="1" x14ac:dyDescent="0.2">
      <c r="A23" s="45">
        <v>5.4166666666666669E-2</v>
      </c>
      <c r="B23" s="153" t="s">
        <v>22</v>
      </c>
      <c r="C23" s="154">
        <f>C5+C6+C7+C8+C9+C10+C11+C12+C13+C14+C15+C16+C17+C18+C19+C20+C21+C22</f>
        <v>74293.10000000002</v>
      </c>
      <c r="D23" s="154">
        <f>D5+D6+D7+D8+D9+D10+D11+D12+D13+D14+D15+D16+D17+D18+D19+D20+D21+D22</f>
        <v>260002.56</v>
      </c>
      <c r="E23" s="154">
        <f>E5+E6+E7+E8+E9+E10+E11+E12+E13+E14+E15+E16+E17+E18+E19+E20+E21+E22</f>
        <v>83813.7</v>
      </c>
      <c r="F23" s="359">
        <f>F22+F21+F20+F19+F18+F17+F16+F15+F14+F13+F12+F11+F10+F9+F8+F7+F6+F5</f>
        <v>171789.10299999997</v>
      </c>
      <c r="G23" s="154">
        <f>G22+G21+G20+G19+G18+G17+G16+G15+G14+G13+G12+G11+G10+G9+G8+G7+G6+G5</f>
        <v>140739.37</v>
      </c>
      <c r="H23" s="154">
        <f>H5+H6+H7+H8+H9+H10+H11+H12+H13+H14+H15+H16+H17+H18+H19+H20+H21+H22</f>
        <v>95378.68</v>
      </c>
      <c r="I23" s="154">
        <f>I5+I6+I7+I8+I9+I10+I11+I12+I13+I14+I15+I16+I17+I18+I19+I20+I21+I22</f>
        <v>102524.02</v>
      </c>
      <c r="J23" s="154">
        <f>J5+J6+J7+J8+J9+J10+J11+J12+J13+J14+J15+J16+J17+J18+J19+J20+J21+J22</f>
        <v>130418.84999999999</v>
      </c>
      <c r="K23" s="154"/>
      <c r="L23" s="154"/>
      <c r="M23" s="154"/>
      <c r="N23" s="154"/>
      <c r="O23" s="154">
        <f>SUM(O5:O22)</f>
        <v>1058959.3829999999</v>
      </c>
      <c r="P23" s="287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/>
      <c r="L24" s="130"/>
      <c r="M24" s="130"/>
      <c r="N24" s="130"/>
      <c r="O24" s="300">
        <f t="shared" si="1"/>
        <v>0</v>
      </c>
      <c r="P24" s="333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>
        <v>0</v>
      </c>
      <c r="D25" s="130">
        <v>0</v>
      </c>
      <c r="E25" s="130"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300">
        <f t="shared" si="1"/>
        <v>0</v>
      </c>
      <c r="P25" s="333">
        <f t="shared" si="0"/>
        <v>0</v>
      </c>
    </row>
    <row r="26" spans="1:16" s="48" customFormat="1" ht="18" customHeight="1" x14ac:dyDescent="0.2">
      <c r="A26" s="49" t="s">
        <v>24</v>
      </c>
      <c r="B26" s="151" t="s">
        <v>23</v>
      </c>
      <c r="C26" s="152">
        <f>SUM(C24:C25)</f>
        <v>0</v>
      </c>
      <c r="D26" s="152">
        <f t="shared" ref="D26:N26" si="2">SUM(D24:D25)</f>
        <v>0</v>
      </c>
      <c r="E26" s="152">
        <f t="shared" si="2"/>
        <v>0</v>
      </c>
      <c r="F26" s="152">
        <f t="shared" si="2"/>
        <v>0</v>
      </c>
      <c r="G26" s="152">
        <f t="shared" si="2"/>
        <v>0</v>
      </c>
      <c r="H26" s="152">
        <f t="shared" si="2"/>
        <v>0</v>
      </c>
      <c r="I26" s="152">
        <f t="shared" si="2"/>
        <v>0</v>
      </c>
      <c r="J26" s="152">
        <f t="shared" si="2"/>
        <v>0</v>
      </c>
      <c r="K26" s="152">
        <f t="shared" si="2"/>
        <v>0</v>
      </c>
      <c r="L26" s="152">
        <f t="shared" si="2"/>
        <v>0</v>
      </c>
      <c r="M26" s="152">
        <f t="shared" si="2"/>
        <v>0</v>
      </c>
      <c r="N26" s="152">
        <f t="shared" si="2"/>
        <v>0</v>
      </c>
      <c r="O26" s="301">
        <f t="shared" si="1"/>
        <v>0</v>
      </c>
      <c r="P26" s="288">
        <f t="shared" si="0"/>
        <v>0</v>
      </c>
    </row>
    <row r="27" spans="1:16" s="55" customFormat="1" ht="18" customHeight="1" x14ac:dyDescent="0.2">
      <c r="A27" s="202" t="s">
        <v>26</v>
      </c>
      <c r="B27" s="207" t="s">
        <v>25</v>
      </c>
      <c r="C27" s="208">
        <f>C23+C26</f>
        <v>74293.10000000002</v>
      </c>
      <c r="D27" s="208">
        <f t="shared" ref="D27:N27" si="3">D23+D26</f>
        <v>260002.56</v>
      </c>
      <c r="E27" s="208">
        <f t="shared" si="3"/>
        <v>83813.7</v>
      </c>
      <c r="F27" s="208">
        <f t="shared" si="3"/>
        <v>171789.10299999997</v>
      </c>
      <c r="G27" s="208">
        <f t="shared" si="3"/>
        <v>140739.37</v>
      </c>
      <c r="H27" s="208">
        <f t="shared" si="3"/>
        <v>95378.68</v>
      </c>
      <c r="I27" s="208">
        <f t="shared" si="3"/>
        <v>102524.02</v>
      </c>
      <c r="J27" s="208">
        <f t="shared" si="3"/>
        <v>130418.84999999999</v>
      </c>
      <c r="K27" s="208">
        <f t="shared" si="3"/>
        <v>0</v>
      </c>
      <c r="L27" s="208">
        <f t="shared" si="3"/>
        <v>0</v>
      </c>
      <c r="M27" s="208">
        <f t="shared" si="3"/>
        <v>0</v>
      </c>
      <c r="N27" s="208">
        <f t="shared" si="3"/>
        <v>0</v>
      </c>
      <c r="O27" s="208">
        <f>O23</f>
        <v>1058959.3829999999</v>
      </c>
      <c r="P27" s="277">
        <f t="shared" si="0"/>
        <v>1</v>
      </c>
    </row>
    <row r="28" spans="1:16" ht="16.5" customHeight="1" x14ac:dyDescent="0.2">
      <c r="D28" s="125" t="s">
        <v>83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C26" sqref="C26:N26"/>
    </sheetView>
  </sheetViews>
  <sheetFormatPr defaultRowHeight="19.5" customHeight="1" x14ac:dyDescent="0.45"/>
  <cols>
    <col min="1" max="1" width="5.75" style="61" customWidth="1"/>
    <col min="2" max="2" width="15.875" style="193" customWidth="1"/>
    <col min="3" max="14" width="8.625" style="107" customWidth="1"/>
    <col min="15" max="15" width="9.75" style="309" customWidth="1"/>
    <col min="16" max="16" width="12" style="316" customWidth="1"/>
    <col min="17" max="16384" width="9" style="61"/>
  </cols>
  <sheetData>
    <row r="1" spans="1:17" s="144" customFormat="1" ht="19.5" customHeight="1" x14ac:dyDescent="0.2">
      <c r="A1" s="138"/>
      <c r="B1" s="139"/>
      <c r="C1" s="140"/>
      <c r="D1" s="141" t="s">
        <v>43</v>
      </c>
      <c r="E1" s="140"/>
      <c r="F1" s="140"/>
      <c r="G1" s="140"/>
      <c r="H1" s="140"/>
      <c r="I1" s="142"/>
      <c r="J1" s="142"/>
      <c r="K1" s="141" t="str">
        <f>สรุปยอด!C3</f>
        <v xml:space="preserve"> ปีงบประมาณ   2562</v>
      </c>
      <c r="L1" s="140"/>
      <c r="M1" s="140"/>
      <c r="N1" s="140"/>
      <c r="O1" s="140"/>
      <c r="P1" s="315"/>
      <c r="Q1" s="143"/>
    </row>
    <row r="2" spans="1:17" s="144" customFormat="1" ht="19.5" customHeight="1" x14ac:dyDescent="0.2">
      <c r="A2" s="138"/>
      <c r="B2" s="139"/>
      <c r="C2" s="141" t="str">
        <f>'[1]1.1.ยา(ทั่วไป)'!C2</f>
        <v>จาก ฝ่ายเภสัชกรรมชุมชน  โรงพยาบาลกุมภวาปี</v>
      </c>
      <c r="D2" s="140"/>
      <c r="E2" s="142"/>
      <c r="F2" s="140"/>
      <c r="G2" s="140"/>
      <c r="H2" s="142"/>
      <c r="I2" s="140"/>
      <c r="J2" s="140"/>
      <c r="K2" s="140"/>
      <c r="L2" s="142"/>
      <c r="M2" s="145"/>
      <c r="N2" s="146" t="str">
        <f>สรุปยอด!D4</f>
        <v>รายงานข้อมูลณ วันที่ 27/05/63</v>
      </c>
      <c r="O2" s="140"/>
      <c r="P2" s="315"/>
      <c r="Q2" s="143"/>
    </row>
    <row r="3" spans="1:17" ht="5.25" customHeight="1" x14ac:dyDescent="0.45"/>
    <row r="4" spans="1:17" s="165" customFormat="1" ht="31.5" customHeight="1" x14ac:dyDescent="0.45">
      <c r="A4" s="167" t="s">
        <v>0</v>
      </c>
      <c r="B4" s="196" t="s">
        <v>1</v>
      </c>
      <c r="C4" s="197" t="s">
        <v>27</v>
      </c>
      <c r="D4" s="197" t="s">
        <v>28</v>
      </c>
      <c r="E4" s="197" t="s">
        <v>29</v>
      </c>
      <c r="F4" s="197" t="s">
        <v>30</v>
      </c>
      <c r="G4" s="197" t="s">
        <v>31</v>
      </c>
      <c r="H4" s="197" t="s">
        <v>32</v>
      </c>
      <c r="I4" s="197" t="s">
        <v>33</v>
      </c>
      <c r="J4" s="197" t="s">
        <v>34</v>
      </c>
      <c r="K4" s="197" t="s">
        <v>35</v>
      </c>
      <c r="L4" s="197" t="s">
        <v>36</v>
      </c>
      <c r="M4" s="197" t="s">
        <v>37</v>
      </c>
      <c r="N4" s="197" t="s">
        <v>38</v>
      </c>
      <c r="O4" s="198" t="s">
        <v>39</v>
      </c>
      <c r="P4" s="317" t="s">
        <v>40</v>
      </c>
    </row>
    <row r="5" spans="1:17" ht="19.5" customHeight="1" x14ac:dyDescent="0.45">
      <c r="A5" s="25">
        <v>1</v>
      </c>
      <c r="B5" s="26" t="s">
        <v>18</v>
      </c>
      <c r="C5" s="192">
        <f>'1.ยาทั่วไป'!C5+'2.ยาแพทย์ PCC'!C5+'3.ยาเรื้อรัง 25%'!C5+'4.ยาเรื้อรังฟรี'!C5</f>
        <v>68046.86</v>
      </c>
      <c r="D5" s="192">
        <f>'1.ยาทั่วไป'!D5+'2.ยาแพทย์ PCC'!D5+'3.ยาเรื้อรัง 25%'!D5+'4.ยาเรื้อรังฟรี'!D5</f>
        <v>85315.39</v>
      </c>
      <c r="E5" s="192">
        <f>'1.ยาทั่วไป'!E5+'2.ยาแพทย์ PCC'!E5+'3.ยาเรื้อรัง 25%'!E5+'4.ยาเรื้อรังฟรี'!E5</f>
        <v>82865.459999999992</v>
      </c>
      <c r="F5" s="192">
        <f>'1.ยาทั่วไป'!F5+'2.ยาแพทย์ PCC'!F5+'3.ยาเรื้อรัง 25%'!F5+'4.ยาเรื้อรังฟรี'!F5</f>
        <v>67358.63</v>
      </c>
      <c r="G5" s="192">
        <f>'1.ยาทั่วไป'!G5+'2.ยาแพทย์ PCC'!G5+'3.ยาเรื้อรัง 25%'!G5+'4.ยาเรื้อรังฟรี'!G5</f>
        <v>77354.880000000005</v>
      </c>
      <c r="H5" s="192">
        <f>'1.ยาทั่วไป'!H5+'2.ยาแพทย์ PCC'!H5+'3.ยาเรื้อรัง 25%'!H5+'4.ยาเรื้อรังฟรี'!H5</f>
        <v>63313.68</v>
      </c>
      <c r="I5" s="192">
        <f>'1.ยาทั่วไป'!I5+'2.ยาแพทย์ PCC'!I5+'3.ยาเรื้อรัง 25%'!I5+'4.ยาเรื้อรังฟรี'!I5</f>
        <v>93478.44</v>
      </c>
      <c r="J5" s="192">
        <f>'1.ยาทั่วไป'!J5+'2.ยาแพทย์ PCC'!J5+'3.ยาเรื้อรัง 25%'!J5+'4.ยาเรื้อรังฟรี'!J5</f>
        <v>56839.520000000004</v>
      </c>
      <c r="K5" s="192">
        <f>'1.ยาทั่วไป'!K5+'2.ยาแพทย์ PCC'!K5+'3.ยาเรื้อรัง 25%'!K5+'4.ยาเรื้อรังฟรี'!K5</f>
        <v>0</v>
      </c>
      <c r="L5" s="192">
        <f>'1.ยาทั่วไป'!L5+'2.ยาแพทย์ PCC'!L5+'3.ยาเรื้อรัง 25%'!L5+'4.ยาเรื้อรังฟรี'!L5</f>
        <v>0</v>
      </c>
      <c r="M5" s="192">
        <f>'1.ยาทั่วไป'!M5+'2.ยาแพทย์ PCC'!M5+'3.ยาเรื้อรัง 25%'!M5+'4.ยาเรื้อรังฟรี'!M5</f>
        <v>0</v>
      </c>
      <c r="N5" s="192">
        <f>'1.ยาทั่วไป'!N5+'2.ยาแพทย์ PCC'!N5+'3.ยาเรื้อรัง 25%'!N5+'4.ยาเรื้อรังฟรี'!N5</f>
        <v>0</v>
      </c>
      <c r="O5" s="310">
        <f>SUM(C5:N5)</f>
        <v>594572.86</v>
      </c>
      <c r="P5" s="313">
        <f t="shared" ref="P5:P27" si="0">O5/$O$23</f>
        <v>0.17839808697873805</v>
      </c>
    </row>
    <row r="6" spans="1:17" ht="19.5" customHeight="1" x14ac:dyDescent="0.45">
      <c r="A6" s="25">
        <v>2</v>
      </c>
      <c r="B6" s="26" t="s">
        <v>19</v>
      </c>
      <c r="C6" s="192">
        <f>'1.ยาทั่วไป'!C6+'2.ยาแพทย์ PCC'!C6+'3.ยาเรื้อรัง 25%'!C6+'4.ยาเรื้อรังฟรี'!C6</f>
        <v>37636.559999999998</v>
      </c>
      <c r="D6" s="192">
        <f>'1.ยาทั่วไป'!D6+'2.ยาแพทย์ PCC'!D6+'3.ยาเรื้อรัง 25%'!D6+'4.ยาเรื้อรังฟรี'!D6</f>
        <v>49001.85</v>
      </c>
      <c r="E6" s="192">
        <f>'1.ยาทั่วไป'!E6+'2.ยาแพทย์ PCC'!E6+'3.ยาเรื้อรัง 25%'!E6+'4.ยาเรื้อรังฟรี'!E6</f>
        <v>41573.300000000003</v>
      </c>
      <c r="F6" s="192">
        <f>'1.ยาทั่วไป'!F6+'2.ยาแพทย์ PCC'!F6+'3.ยาเรื้อรัง 25%'!F6+'4.ยาเรื้อรังฟรี'!F6</f>
        <v>37519.39</v>
      </c>
      <c r="G6" s="192">
        <f>'1.ยาทั่วไป'!G6+'2.ยาแพทย์ PCC'!G6+'3.ยาเรื้อรัง 25%'!G6+'4.ยาเรื้อรังฟรี'!G6</f>
        <v>45954.720000000001</v>
      </c>
      <c r="H6" s="192">
        <f>'1.ยาทั่วไป'!H6+'2.ยาแพทย์ PCC'!H6+'3.ยาเรื้อรัง 25%'!H6+'4.ยาเรื้อรังฟรี'!H6</f>
        <v>70331.5</v>
      </c>
      <c r="I6" s="192">
        <f>'1.ยาทั่วไป'!I6+'2.ยาแพทย์ PCC'!I6+'3.ยาเรื้อรัง 25%'!I6+'4.ยาเรื้อรังฟรี'!I6</f>
        <v>44634.5</v>
      </c>
      <c r="J6" s="192">
        <f>'1.ยาทั่วไป'!J6+'2.ยาแพทย์ PCC'!J6+'3.ยาเรื้อรัง 25%'!J6+'4.ยาเรื้อรังฟรี'!J6</f>
        <v>30225.98</v>
      </c>
      <c r="K6" s="192">
        <f>'1.ยาทั่วไป'!K6+'2.ยาแพทย์ PCC'!K6+'3.ยาเรื้อรัง 25%'!K6+'4.ยาเรื้อรังฟรี'!K6</f>
        <v>0</v>
      </c>
      <c r="L6" s="192">
        <f>'1.ยาทั่วไป'!L6+'2.ยาแพทย์ PCC'!L6+'3.ยาเรื้อรัง 25%'!L6+'4.ยาเรื้อรังฟรี'!L6</f>
        <v>0</v>
      </c>
      <c r="M6" s="192">
        <f>'1.ยาทั่วไป'!M6+'2.ยาแพทย์ PCC'!M6+'3.ยาเรื้อรัง 25%'!M6+'4.ยาเรื้อรังฟรี'!M6</f>
        <v>0</v>
      </c>
      <c r="N6" s="192">
        <f>'1.ยาทั่วไป'!N6+'2.ยาแพทย์ PCC'!N6+'3.ยาเรื้อรัง 25%'!N6+'4.ยาเรื้อรังฟรี'!N6</f>
        <v>0</v>
      </c>
      <c r="O6" s="310">
        <f>SUM(C6:N6)</f>
        <v>356877.8</v>
      </c>
      <c r="P6" s="313">
        <f t="shared" si="0"/>
        <v>0.1070790833022225</v>
      </c>
    </row>
    <row r="7" spans="1:17" ht="19.5" customHeight="1" x14ac:dyDescent="0.45">
      <c r="A7" s="25">
        <v>3</v>
      </c>
      <c r="B7" s="26" t="s">
        <v>20</v>
      </c>
      <c r="C7" s="192">
        <f>'1.ยาทั่วไป'!C7+'2.ยาแพทย์ PCC'!C7+'3.ยาเรื้อรัง 25%'!C7+'4.ยาเรื้อรังฟรี'!C7</f>
        <v>14656.35</v>
      </c>
      <c r="D7" s="192">
        <f>'1.ยาทั่วไป'!D7+'2.ยาแพทย์ PCC'!D7+'3.ยาเรื้อรัง 25%'!D7+'4.ยาเรื้อรังฟรี'!D7</f>
        <v>8607.119999999999</v>
      </c>
      <c r="E7" s="192">
        <f>'1.ยาทั่วไป'!E7+'2.ยาแพทย์ PCC'!E7+'3.ยาเรื้อรัง 25%'!E7+'4.ยาเรื้อรังฟรี'!E7</f>
        <v>29024.55</v>
      </c>
      <c r="F7" s="192">
        <f>'1.ยาทั่วไป'!F7+'2.ยาแพทย์ PCC'!F7+'3.ยาเรื้อรัง 25%'!F7+'4.ยาเรื้อรังฟรี'!F7</f>
        <v>24140.239999999998</v>
      </c>
      <c r="G7" s="192">
        <f>'1.ยาทั่วไป'!G7+'2.ยาแพทย์ PCC'!G7+'3.ยาเรื้อรัง 25%'!G7+'4.ยาเรื้อรังฟรี'!G7</f>
        <v>19616.309999999998</v>
      </c>
      <c r="H7" s="192">
        <f>'1.ยาทั่วไป'!H7+'2.ยาแพทย์ PCC'!H7+'3.ยาเรื้อรัง 25%'!H7+'4.ยาเรื้อรังฟรี'!H7</f>
        <v>2715.1</v>
      </c>
      <c r="I7" s="192">
        <f>'1.ยาทั่วไป'!I7+'2.ยาแพทย์ PCC'!I7+'3.ยาเรื้อรัง 25%'!I7+'4.ยาเรื้อรังฟรี'!I7</f>
        <v>32313.4</v>
      </c>
      <c r="J7" s="192">
        <f>'1.ยาทั่วไป'!J7+'2.ยาแพทย์ PCC'!J7+'3.ยาเรื้อรัง 25%'!J7+'4.ยาเรื้อรังฟรี'!J7</f>
        <v>14083.5</v>
      </c>
      <c r="K7" s="192">
        <f>'1.ยาทั่วไป'!K7+'2.ยาแพทย์ PCC'!K7+'3.ยาเรื้อรัง 25%'!K7+'4.ยาเรื้อรังฟรี'!K7</f>
        <v>0</v>
      </c>
      <c r="L7" s="192">
        <f>'1.ยาทั่วไป'!L7+'2.ยาแพทย์ PCC'!L7+'3.ยาเรื้อรัง 25%'!L7+'4.ยาเรื้อรังฟรี'!L7</f>
        <v>0</v>
      </c>
      <c r="M7" s="192">
        <f>'1.ยาทั่วไป'!M7+'2.ยาแพทย์ PCC'!M7+'3.ยาเรื้อรัง 25%'!M7+'4.ยาเรื้อรังฟรี'!M7</f>
        <v>0</v>
      </c>
      <c r="N7" s="192">
        <f>'1.ยาทั่วไป'!N7+'2.ยาแพทย์ PCC'!N7+'3.ยาเรื้อรัง 25%'!N7+'4.ยาเรื้อรังฟรี'!N7</f>
        <v>0</v>
      </c>
      <c r="O7" s="310">
        <f t="shared" ref="O7:O22" si="1">SUM(C7:N7)</f>
        <v>145156.57</v>
      </c>
      <c r="P7" s="313">
        <f t="shared" si="0"/>
        <v>4.3553374434876287E-2</v>
      </c>
    </row>
    <row r="8" spans="1:17" ht="19.5" customHeight="1" x14ac:dyDescent="0.45">
      <c r="A8" s="25">
        <v>4</v>
      </c>
      <c r="B8" s="26" t="s">
        <v>21</v>
      </c>
      <c r="C8" s="192">
        <f>'1.ยาทั่วไป'!C8+'2.ยาแพทย์ PCC'!C8+'3.ยาเรื้อรัง 25%'!C8+'4.ยาเรื้อรังฟรี'!C8</f>
        <v>12633.43</v>
      </c>
      <c r="D8" s="192">
        <f>'1.ยาทั่วไป'!D8+'2.ยาแพทย์ PCC'!D8+'3.ยาเรื้อรัง 25%'!D8+'4.ยาเรื้อรังฟรี'!D8</f>
        <v>65062</v>
      </c>
      <c r="E8" s="192">
        <f>'1.ยาทั่วไป'!E8+'2.ยาแพทย์ PCC'!E8+'3.ยาเรื้อรัง 25%'!E8+'4.ยาเรื้อรังฟรี'!E8</f>
        <v>46045.13</v>
      </c>
      <c r="F8" s="192">
        <f>'1.ยาทั่วไป'!F8+'2.ยาแพทย์ PCC'!F8+'3.ยาเรื้อรัง 25%'!F8+'4.ยาเรื้อรังฟรี'!F8</f>
        <v>46352.25</v>
      </c>
      <c r="G8" s="192">
        <f>'1.ยาทั่วไป'!G8+'2.ยาแพทย์ PCC'!G8+'3.ยาเรื้อรัง 25%'!G8+'4.ยาเรื้อรังฟรี'!G8</f>
        <v>13710.7</v>
      </c>
      <c r="H8" s="192">
        <f>'1.ยาทั่วไป'!H8+'2.ยาแพทย์ PCC'!H8+'3.ยาเรื้อรัง 25%'!H8+'4.ยาเรื้อรังฟรี'!H8</f>
        <v>57551.520000000004</v>
      </c>
      <c r="I8" s="192">
        <f>'1.ยาทั่วไป'!I8+'2.ยาแพทย์ PCC'!I8+'3.ยาเรื้อรัง 25%'!I8+'4.ยาเรื้อรังฟรี'!I8</f>
        <v>50620.74</v>
      </c>
      <c r="J8" s="192">
        <f>'1.ยาทั่วไป'!J8+'2.ยาแพทย์ PCC'!J8+'3.ยาเรื้อรัง 25%'!J8+'4.ยาเรื้อรังฟรี'!J8</f>
        <v>27021.97</v>
      </c>
      <c r="K8" s="192">
        <f>'1.ยาทั่วไป'!K8+'2.ยาแพทย์ PCC'!K8+'3.ยาเรื้อรัง 25%'!K8+'4.ยาเรื้อรังฟรี'!K8</f>
        <v>0</v>
      </c>
      <c r="L8" s="192">
        <f>'1.ยาทั่วไป'!L8+'2.ยาแพทย์ PCC'!L8+'3.ยาเรื้อรัง 25%'!L8+'4.ยาเรื้อรังฟรี'!L8</f>
        <v>0</v>
      </c>
      <c r="M8" s="192">
        <f>'1.ยาทั่วไป'!M8+'2.ยาแพทย์ PCC'!M8+'3.ยาเรื้อรัง 25%'!M8+'4.ยาเรื้อรังฟรี'!M8</f>
        <v>0</v>
      </c>
      <c r="N8" s="192">
        <f>'1.ยาทั่วไป'!N8+'2.ยาแพทย์ PCC'!N8+'3.ยาเรื้อรัง 25%'!N8+'4.ยาเรื้อรังฟรี'!N8</f>
        <v>0</v>
      </c>
      <c r="O8" s="310">
        <f t="shared" si="1"/>
        <v>318997.74</v>
      </c>
      <c r="P8" s="313">
        <f t="shared" si="0"/>
        <v>9.5713394261791332E-2</v>
      </c>
    </row>
    <row r="9" spans="1:17" ht="19.5" customHeight="1" x14ac:dyDescent="0.45">
      <c r="A9" s="25">
        <v>5</v>
      </c>
      <c r="B9" s="26" t="s">
        <v>2</v>
      </c>
      <c r="C9" s="192">
        <f>'1.ยาทั่วไป'!C9+'2.ยาแพทย์ PCC'!C9+'3.ยาเรื้อรัง 25%'!C9+'4.ยาเรื้อรังฟรี'!C9</f>
        <v>40436.75</v>
      </c>
      <c r="D9" s="192">
        <f>'1.ยาทั่วไป'!D9+'2.ยาแพทย์ PCC'!D9+'3.ยาเรื้อรัง 25%'!D9+'4.ยาเรื้อรังฟรี'!D9</f>
        <v>11278</v>
      </c>
      <c r="E9" s="192">
        <f>'1.ยาทั่วไป'!E9+'2.ยาแพทย์ PCC'!E9+'3.ยาเรื้อรัง 25%'!E9+'4.ยาเรื้อรังฟรี'!E9</f>
        <v>30651.85</v>
      </c>
      <c r="F9" s="192">
        <f>'1.ยาทั่วไป'!F9+'2.ยาแพทย์ PCC'!F9+'3.ยาเรื้อรัง 25%'!F9+'4.ยาเรื้อรังฟรี'!F9</f>
        <v>23860.33</v>
      </c>
      <c r="G9" s="192">
        <f>'1.ยาทั่วไป'!G9+'2.ยาแพทย์ PCC'!G9+'3.ยาเรื้อรัง 25%'!G9+'4.ยาเรื้อรังฟรี'!G9</f>
        <v>7938.16</v>
      </c>
      <c r="H9" s="192">
        <f>'1.ยาทั่วไป'!H9+'2.ยาแพทย์ PCC'!H9+'3.ยาเรื้อรัง 25%'!H9+'4.ยาเรื้อรังฟรี'!H9</f>
        <v>18973.86</v>
      </c>
      <c r="I9" s="192">
        <f>'1.ยาทั่วไป'!I9+'2.ยาแพทย์ PCC'!I9+'3.ยาเรื้อรัง 25%'!I9+'4.ยาเรื้อรังฟรี'!I9</f>
        <v>26804.77</v>
      </c>
      <c r="J9" s="192">
        <f>'1.ยาทั่วไป'!J9+'2.ยาแพทย์ PCC'!J9+'3.ยาเรื้อรัง 25%'!J9+'4.ยาเรื้อรังฟรี'!J9</f>
        <v>23047.3</v>
      </c>
      <c r="K9" s="192">
        <f>'1.ยาทั่วไป'!K9+'2.ยาแพทย์ PCC'!K9+'3.ยาเรื้อรัง 25%'!K9+'4.ยาเรื้อรังฟรี'!K9</f>
        <v>0</v>
      </c>
      <c r="L9" s="192">
        <f>'1.ยาทั่วไป'!L9+'2.ยาแพทย์ PCC'!L9+'3.ยาเรื้อรัง 25%'!L9+'4.ยาเรื้อรังฟรี'!L9</f>
        <v>0</v>
      </c>
      <c r="M9" s="192">
        <f>'1.ยาทั่วไป'!M9+'2.ยาแพทย์ PCC'!M9+'3.ยาเรื้อรัง 25%'!M9+'4.ยาเรื้อรังฟรี'!M9</f>
        <v>0</v>
      </c>
      <c r="N9" s="192">
        <f>'1.ยาทั่วไป'!N9+'2.ยาแพทย์ PCC'!N9+'3.ยาเรื้อรัง 25%'!N9+'4.ยาเรื้อรังฟรี'!N9</f>
        <v>0</v>
      </c>
      <c r="O9" s="310">
        <f t="shared" si="1"/>
        <v>182991.02</v>
      </c>
      <c r="P9" s="313">
        <f t="shared" si="0"/>
        <v>5.490537846326856E-2</v>
      </c>
    </row>
    <row r="10" spans="1:17" ht="19.5" customHeight="1" x14ac:dyDescent="0.45">
      <c r="A10" s="25">
        <v>6</v>
      </c>
      <c r="B10" s="26" t="s">
        <v>3</v>
      </c>
      <c r="C10" s="192">
        <f>'1.ยาทั่วไป'!C10+'2.ยาแพทย์ PCC'!C10+'3.ยาเรื้อรัง 25%'!C10+'4.ยาเรื้อรังฟรี'!C10</f>
        <v>19348.830000000002</v>
      </c>
      <c r="D10" s="192">
        <f>'1.ยาทั่วไป'!D10+'2.ยาแพทย์ PCC'!D10+'3.ยาเรื้อรัง 25%'!D10+'4.ยาเรื้อรังฟรี'!D10</f>
        <v>6681</v>
      </c>
      <c r="E10" s="192">
        <f>'1.ยาทั่วไป'!E10+'2.ยาแพทย์ PCC'!E10+'3.ยาเรื้อรัง 25%'!E10+'4.ยาเรื้อรังฟรี'!E10</f>
        <v>19983.18</v>
      </c>
      <c r="F10" s="192">
        <f>'1.ยาทั่วไป'!F10+'2.ยาแพทย์ PCC'!F10+'3.ยาเรื้อรัง 25%'!F10+'4.ยาเรื้อรังฟรี'!F10</f>
        <v>13837.78</v>
      </c>
      <c r="G10" s="192">
        <f>'1.ยาทั่วไป'!G10+'2.ยาแพทย์ PCC'!G10+'3.ยาเรื้อรัง 25%'!G10+'4.ยาเรื้อรังฟรี'!G10</f>
        <v>17504.099999999999</v>
      </c>
      <c r="H10" s="192">
        <f>'1.ยาทั่วไป'!H10+'2.ยาแพทย์ PCC'!H10+'3.ยาเรื้อรัง 25%'!H10+'4.ยาเรื้อรังฟรี'!H10</f>
        <v>19901.16</v>
      </c>
      <c r="I10" s="192">
        <f>'1.ยาทั่วไป'!I10+'2.ยาแพทย์ PCC'!I10+'3.ยาเรื้อรัง 25%'!I10+'4.ยาเรื้อรังฟรี'!I10</f>
        <v>11370.900000000001</v>
      </c>
      <c r="J10" s="192">
        <f>'1.ยาทั่วไป'!J10+'2.ยาแพทย์ PCC'!J10+'3.ยาเรื้อรัง 25%'!J10+'4.ยาเรื้อรังฟรี'!J10</f>
        <v>2215.44</v>
      </c>
      <c r="K10" s="192">
        <f>'1.ยาทั่วไป'!K10+'2.ยาแพทย์ PCC'!K10+'3.ยาเรื้อรัง 25%'!K10+'4.ยาเรื้อรังฟรี'!K10</f>
        <v>0</v>
      </c>
      <c r="L10" s="192">
        <f>'1.ยาทั่วไป'!L10+'2.ยาแพทย์ PCC'!L10+'3.ยาเรื้อรัง 25%'!L10+'4.ยาเรื้อรังฟรี'!L10</f>
        <v>0</v>
      </c>
      <c r="M10" s="192">
        <f>'1.ยาทั่วไป'!M10+'2.ยาแพทย์ PCC'!M10+'3.ยาเรื้อรัง 25%'!M10+'4.ยาเรื้อรังฟรี'!M10</f>
        <v>0</v>
      </c>
      <c r="N10" s="192">
        <f>'1.ยาทั่วไป'!N10+'2.ยาแพทย์ PCC'!N10+'3.ยาเรื้อรัง 25%'!N10+'4.ยาเรื้อรังฟรี'!N10</f>
        <v>0</v>
      </c>
      <c r="O10" s="310">
        <f t="shared" si="1"/>
        <v>110842.39000000001</v>
      </c>
      <c r="P10" s="313">
        <f t="shared" si="0"/>
        <v>3.325760669962502E-2</v>
      </c>
    </row>
    <row r="11" spans="1:17" ht="19.5" customHeight="1" x14ac:dyDescent="0.45">
      <c r="A11" s="25">
        <v>7</v>
      </c>
      <c r="B11" s="26" t="s">
        <v>4</v>
      </c>
      <c r="C11" s="192">
        <f>'1.ยาทั่วไป'!C11+'2.ยาแพทย์ PCC'!C11+'3.ยาเรื้อรัง 25%'!C11+'4.ยาเรื้อรังฟรี'!C11</f>
        <v>32394.3</v>
      </c>
      <c r="D11" s="192">
        <f>'1.ยาทั่วไป'!D11+'2.ยาแพทย์ PCC'!D11+'3.ยาเรื้อรัง 25%'!D11+'4.ยาเรื้อรังฟรี'!D11</f>
        <v>12196.66</v>
      </c>
      <c r="E11" s="192">
        <f>'1.ยาทั่วไป'!E11+'2.ยาแพทย์ PCC'!E11+'3.ยาเรื้อรัง 25%'!E11+'4.ยาเรื้อรังฟรี'!E11</f>
        <v>27844.98</v>
      </c>
      <c r="F11" s="192">
        <f>'1.ยาทั่วไป'!F11+'2.ยาแพทย์ PCC'!F11+'3.ยาเรื้อรัง 25%'!F11+'4.ยาเรื้อรังฟรี'!F11</f>
        <v>46398.35</v>
      </c>
      <c r="G11" s="192">
        <f>'1.ยาทั่วไป'!G11+'2.ยาแพทย์ PCC'!G11+'3.ยาเรื้อรัง 25%'!G11+'4.ยาเรื้อรังฟรี'!G11</f>
        <v>21531.19</v>
      </c>
      <c r="H11" s="192">
        <f>'1.ยาทั่วไป'!H11+'2.ยาแพทย์ PCC'!H11+'3.ยาเรื้อรัง 25%'!H11+'4.ยาเรื้อรังฟรี'!H11</f>
        <v>9080.7999999999993</v>
      </c>
      <c r="I11" s="192">
        <f>'1.ยาทั่วไป'!I11+'2.ยาแพทย์ PCC'!I11+'3.ยาเรื้อรัง 25%'!I11+'4.ยาเรื้อรังฟรี'!I11</f>
        <v>29257</v>
      </c>
      <c r="J11" s="192">
        <f>'1.ยาทั่วไป'!J11+'2.ยาแพทย์ PCC'!J11+'3.ยาเรื้อรัง 25%'!J11+'4.ยาเรื้อรังฟรี'!J11</f>
        <v>15787.6</v>
      </c>
      <c r="K11" s="192">
        <f>'1.ยาทั่วไป'!K11+'2.ยาแพทย์ PCC'!K11+'3.ยาเรื้อรัง 25%'!K11+'4.ยาเรื้อรังฟรี'!K11</f>
        <v>0</v>
      </c>
      <c r="L11" s="192">
        <f>'1.ยาทั่วไป'!L11+'2.ยาแพทย์ PCC'!L11+'3.ยาเรื้อรัง 25%'!L11+'4.ยาเรื้อรังฟรี'!L11</f>
        <v>0</v>
      </c>
      <c r="M11" s="192">
        <f>'1.ยาทั่วไป'!M11+'2.ยาแพทย์ PCC'!M11+'3.ยาเรื้อรัง 25%'!M11+'4.ยาเรื้อรังฟรี'!M11</f>
        <v>0</v>
      </c>
      <c r="N11" s="192">
        <f>'1.ยาทั่วไป'!N11+'2.ยาแพทย์ PCC'!N11+'3.ยาเรื้อรัง 25%'!N11+'4.ยาเรื้อรังฟรี'!N11</f>
        <v>0</v>
      </c>
      <c r="O11" s="310">
        <f t="shared" si="1"/>
        <v>194490.88</v>
      </c>
      <c r="P11" s="313">
        <f t="shared" si="0"/>
        <v>5.8355843767929981E-2</v>
      </c>
    </row>
    <row r="12" spans="1:17" ht="19.5" customHeight="1" x14ac:dyDescent="0.45">
      <c r="A12" s="25">
        <v>8</v>
      </c>
      <c r="B12" s="26" t="s">
        <v>5</v>
      </c>
      <c r="C12" s="192">
        <f>'1.ยาทั่วไป'!C12+'2.ยาแพทย์ PCC'!C12+'3.ยาเรื้อรัง 25%'!C12+'4.ยาเรื้อรังฟรี'!C12</f>
        <v>6538.2199999999993</v>
      </c>
      <c r="D12" s="192">
        <f>'1.ยาทั่วไป'!D12+'2.ยาแพทย์ PCC'!D12+'3.ยาเรื้อรัง 25%'!D12+'4.ยาเรื้อรังฟรี'!D12</f>
        <v>46192</v>
      </c>
      <c r="E12" s="192">
        <f>'1.ยาทั่วไป'!E12+'2.ยาแพทย์ PCC'!E12+'3.ยาเรื้อรัง 25%'!E12+'4.ยาเรื้อรังฟรี'!E12</f>
        <v>36051.32</v>
      </c>
      <c r="F12" s="192">
        <f>'1.ยาทั่วไป'!F12+'2.ยาแพทย์ PCC'!F12+'3.ยาเรื้อรัง 25%'!F12+'4.ยาเรื้อรังฟรี'!F12</f>
        <v>18830.849999999999</v>
      </c>
      <c r="G12" s="192">
        <f>'1.ยาทั่วไป'!G12+'2.ยาแพทย์ PCC'!G12+'3.ยาเรื้อรัง 25%'!G12+'4.ยาเรื้อรังฟรี'!G12</f>
        <v>29822.2</v>
      </c>
      <c r="H12" s="192">
        <f>'1.ยาทั่วไป'!H12+'2.ยาแพทย์ PCC'!H12+'3.ยาเรื้อรัง 25%'!H12+'4.ยาเรื้อรังฟรี'!H12</f>
        <v>62355.89</v>
      </c>
      <c r="I12" s="192">
        <f>'1.ยาทั่วไป'!I12+'2.ยาแพทย์ PCC'!I12+'3.ยาเรื้อรัง 25%'!I12+'4.ยาเรื้อรังฟรี'!I12</f>
        <v>16977.55</v>
      </c>
      <c r="J12" s="192">
        <f>'1.ยาทั่วไป'!J12+'2.ยาแพทย์ PCC'!J12+'3.ยาเรื้อรัง 25%'!J12+'4.ยาเรื้อรังฟรี'!J12</f>
        <v>35061</v>
      </c>
      <c r="K12" s="192">
        <f>'1.ยาทั่วไป'!K12+'2.ยาแพทย์ PCC'!K12+'3.ยาเรื้อรัง 25%'!K12+'4.ยาเรื้อรังฟรี'!K12</f>
        <v>0</v>
      </c>
      <c r="L12" s="192">
        <f>'1.ยาทั่วไป'!L12+'2.ยาแพทย์ PCC'!L12+'3.ยาเรื้อรัง 25%'!L12+'4.ยาเรื้อรังฟรี'!L12</f>
        <v>0</v>
      </c>
      <c r="M12" s="192">
        <f>'1.ยาทั่วไป'!M12+'2.ยาแพทย์ PCC'!M12+'3.ยาเรื้อรัง 25%'!M12+'4.ยาเรื้อรังฟรี'!M12</f>
        <v>0</v>
      </c>
      <c r="N12" s="192">
        <f>'1.ยาทั่วไป'!N12+'2.ยาแพทย์ PCC'!N12+'3.ยาเรื้อรัง 25%'!N12+'4.ยาเรื้อรังฟรี'!N12</f>
        <v>0</v>
      </c>
      <c r="O12" s="310">
        <f t="shared" si="1"/>
        <v>251829.03000000003</v>
      </c>
      <c r="P12" s="313">
        <f t="shared" si="0"/>
        <v>7.5559818182268257E-2</v>
      </c>
    </row>
    <row r="13" spans="1:17" ht="19.5" customHeight="1" x14ac:dyDescent="0.45">
      <c r="A13" s="25">
        <v>9</v>
      </c>
      <c r="B13" s="26" t="s">
        <v>6</v>
      </c>
      <c r="C13" s="192">
        <f>'1.ยาทั่วไป'!C13+'2.ยาแพทย์ PCC'!C13+'3.ยาเรื้อรัง 25%'!C13+'4.ยาเรื้อรังฟรี'!C13</f>
        <v>14973.64</v>
      </c>
      <c r="D13" s="192">
        <f>'1.ยาทั่วไป'!D13+'2.ยาแพทย์ PCC'!D13+'3.ยาเรื้อรัง 25%'!D13+'4.ยาเรื้อรังฟรี'!D13</f>
        <v>4829.8100000000004</v>
      </c>
      <c r="E13" s="192">
        <f>'1.ยาทั่วไป'!E13+'2.ยาแพทย์ PCC'!E13+'3.ยาเรื้อรัง 25%'!E13+'4.ยาเรื้อรังฟรี'!E13</f>
        <v>11912.8</v>
      </c>
      <c r="F13" s="192">
        <f>'1.ยาทั่วไป'!F13+'2.ยาแพทย์ PCC'!F13+'3.ยาเรื้อรัง 25%'!F13+'4.ยาเรื้อรังฟรี'!F13</f>
        <v>19835.330000000002</v>
      </c>
      <c r="G13" s="192">
        <f>'1.ยาทั่วไป'!G13+'2.ยาแพทย์ PCC'!G13+'3.ยาเรื้อรัง 25%'!G13+'4.ยาเรื้อรังฟรี'!G13</f>
        <v>24320.52</v>
      </c>
      <c r="H13" s="192">
        <f>'1.ยาทั่วไป'!H13+'2.ยาแพทย์ PCC'!H13+'3.ยาเรื้อรัง 25%'!H13+'4.ยาเรื้อรังฟรี'!H13</f>
        <v>7929.1299999999992</v>
      </c>
      <c r="I13" s="192">
        <f>'1.ยาทั่วไป'!I13+'2.ยาแพทย์ PCC'!I13+'3.ยาเรื้อรัง 25%'!I13+'4.ยาเรื้อรังฟรี'!I13</f>
        <v>25409.46</v>
      </c>
      <c r="J13" s="192">
        <f>'1.ยาทั่วไป'!J13+'2.ยาแพทย์ PCC'!J13+'3.ยาเรื้อรัง 25%'!J13+'4.ยาเรื้อรังฟรี'!J13</f>
        <v>8186.92</v>
      </c>
      <c r="K13" s="192">
        <f>'1.ยาทั่วไป'!K13+'2.ยาแพทย์ PCC'!K13+'3.ยาเรื้อรัง 25%'!K13+'4.ยาเรื้อรังฟรี'!K13</f>
        <v>0</v>
      </c>
      <c r="L13" s="192">
        <f>'1.ยาทั่วไป'!L13+'2.ยาแพทย์ PCC'!L13+'3.ยาเรื้อรัง 25%'!L13+'4.ยาเรื้อรังฟรี'!L13</f>
        <v>0</v>
      </c>
      <c r="M13" s="192">
        <f>'1.ยาทั่วไป'!M13+'2.ยาแพทย์ PCC'!M13+'3.ยาเรื้อรัง 25%'!M13+'4.ยาเรื้อรังฟรี'!M13</f>
        <v>0</v>
      </c>
      <c r="N13" s="192">
        <f>'1.ยาทั่วไป'!N13+'2.ยาแพทย์ PCC'!N13+'3.ยาเรื้อรัง 25%'!N13+'4.ยาเรื้อรังฟรี'!N13</f>
        <v>0</v>
      </c>
      <c r="O13" s="310">
        <f t="shared" si="1"/>
        <v>117397.61</v>
      </c>
      <c r="P13" s="313">
        <f t="shared" si="0"/>
        <v>3.5224461876507393E-2</v>
      </c>
    </row>
    <row r="14" spans="1:17" ht="19.5" customHeight="1" x14ac:dyDescent="0.45">
      <c r="A14" s="25">
        <v>10</v>
      </c>
      <c r="B14" s="26" t="s">
        <v>7</v>
      </c>
      <c r="C14" s="192">
        <f>'1.ยาทั่วไป'!C14+'2.ยาแพทย์ PCC'!C14+'3.ยาเรื้อรัง 25%'!C14+'4.ยาเรื้อรังฟรี'!C14</f>
        <v>3855</v>
      </c>
      <c r="D14" s="192">
        <f>'1.ยาทั่วไป'!D14+'2.ยาแพทย์ PCC'!D14+'3.ยาเรื้อรัง 25%'!D14+'4.ยาเรื้อรังฟรี'!D14</f>
        <v>6398</v>
      </c>
      <c r="E14" s="192">
        <f>'1.ยาทั่วไป'!E14+'2.ยาแพทย์ PCC'!E14+'3.ยาเรื้อรัง 25%'!E14+'4.ยาเรื้อรังฟรี'!E14</f>
        <v>6617</v>
      </c>
      <c r="F14" s="192">
        <f>'1.ยาทั่วไป'!F14+'2.ยาแพทย์ PCC'!F14+'3.ยาเรื้อรัง 25%'!F14+'4.ยาเรื้อรังฟรี'!F14</f>
        <v>14876.75</v>
      </c>
      <c r="G14" s="192">
        <f>'1.ยาทั่วไป'!G14+'2.ยาแพทย์ PCC'!G14+'3.ยาเรื้อรัง 25%'!G14+'4.ยาเรื้อรังฟรี'!G14</f>
        <v>9959.4</v>
      </c>
      <c r="H14" s="192">
        <f>'1.ยาทั่วไป'!H14+'2.ยาแพทย์ PCC'!H14+'3.ยาเรื้อรัง 25%'!H14+'4.ยาเรื้อรังฟรี'!H14</f>
        <v>27285.559999999998</v>
      </c>
      <c r="I14" s="192">
        <f>'1.ยาทั่วไป'!I14+'2.ยาแพทย์ PCC'!I14+'3.ยาเรื้อรัง 25%'!I14+'4.ยาเรื้อรังฟรี'!I14</f>
        <v>0</v>
      </c>
      <c r="J14" s="192">
        <f>'1.ยาทั่วไป'!J14+'2.ยาแพทย์ PCC'!J14+'3.ยาเรื้อรัง 25%'!J14+'4.ยาเรื้อรังฟรี'!J14</f>
        <v>15251.560000000001</v>
      </c>
      <c r="K14" s="192">
        <f>'1.ยาทั่วไป'!K14+'2.ยาแพทย์ PCC'!K14+'3.ยาเรื้อรัง 25%'!K14+'4.ยาเรื้อรังฟรี'!K14</f>
        <v>0</v>
      </c>
      <c r="L14" s="192">
        <f>'1.ยาทั่วไป'!L14+'2.ยาแพทย์ PCC'!L14+'3.ยาเรื้อรัง 25%'!L14+'4.ยาเรื้อรังฟรี'!L14</f>
        <v>0</v>
      </c>
      <c r="M14" s="192">
        <f>'1.ยาทั่วไป'!M14+'2.ยาแพทย์ PCC'!M14+'3.ยาเรื้อรัง 25%'!M14+'4.ยาเรื้อรังฟรี'!M14</f>
        <v>0</v>
      </c>
      <c r="N14" s="192">
        <f>'1.ยาทั่วไป'!N14+'2.ยาแพทย์ PCC'!N14+'3.ยาเรื้อรัง 25%'!N14+'4.ยาเรื้อรังฟรี'!N14</f>
        <v>0</v>
      </c>
      <c r="O14" s="310">
        <f t="shared" si="1"/>
        <v>84243.26999999999</v>
      </c>
      <c r="P14" s="313">
        <f t="shared" si="0"/>
        <v>2.5276697306421472E-2</v>
      </c>
    </row>
    <row r="15" spans="1:17" ht="19.5" customHeight="1" x14ac:dyDescent="0.45">
      <c r="A15" s="25">
        <v>11</v>
      </c>
      <c r="B15" s="26" t="s">
        <v>8</v>
      </c>
      <c r="C15" s="192">
        <f>'1.ยาทั่วไป'!C15+'2.ยาแพทย์ PCC'!C15+'3.ยาเรื้อรัง 25%'!C15+'4.ยาเรื้อรังฟรี'!C15</f>
        <v>30361.32</v>
      </c>
      <c r="D15" s="192">
        <f>'1.ยาทั่วไป'!D15+'2.ยาแพทย์ PCC'!D15+'3.ยาเรื้อรัง 25%'!D15+'4.ยาเรื้อรังฟรี'!D15</f>
        <v>23038.16</v>
      </c>
      <c r="E15" s="192">
        <f>'1.ยาทั่วไป'!E15+'2.ยาแพทย์ PCC'!E15+'3.ยาเรื้อรัง 25%'!E15+'4.ยาเรื้อรังฟรี'!E15</f>
        <v>17270.12</v>
      </c>
      <c r="F15" s="192">
        <f>'1.ยาทั่วไป'!F15+'2.ยาแพทย์ PCC'!F15+'3.ยาเรื้อรัง 25%'!F15+'4.ยาเรื้อรังฟรี'!F15</f>
        <v>30088.55</v>
      </c>
      <c r="G15" s="192">
        <f>'1.ยาทั่วไป'!G15+'2.ยาแพทย์ PCC'!G15+'3.ยาเรื้อรัง 25%'!G15+'4.ยาเรื้อรังฟรี'!G15</f>
        <v>23678.59</v>
      </c>
      <c r="H15" s="192">
        <f>'1.ยาทั่วไป'!H15+'2.ยาแพทย์ PCC'!H15+'3.ยาเรื้อรัง 25%'!H15+'4.ยาเรื้อรังฟรี'!H15</f>
        <v>47686.42</v>
      </c>
      <c r="I15" s="192">
        <f>'1.ยาทั่วไป'!I15+'2.ยาแพทย์ PCC'!I15+'3.ยาเรื้อรัง 25%'!I15+'4.ยาเรื้อรังฟรี'!I15</f>
        <v>5550</v>
      </c>
      <c r="J15" s="192">
        <f>'1.ยาทั่วไป'!J15+'2.ยาแพทย์ PCC'!J15+'3.ยาเรื้อรัง 25%'!J15+'4.ยาเรื้อรังฟรี'!J15</f>
        <v>9622</v>
      </c>
      <c r="K15" s="192">
        <f>'1.ยาทั่วไป'!K15+'2.ยาแพทย์ PCC'!K15+'3.ยาเรื้อรัง 25%'!K15+'4.ยาเรื้อรังฟรี'!K15</f>
        <v>0</v>
      </c>
      <c r="L15" s="192">
        <f>'1.ยาทั่วไป'!L15+'2.ยาแพทย์ PCC'!L15+'3.ยาเรื้อรัง 25%'!L15+'4.ยาเรื้อรังฟรี'!L15</f>
        <v>0</v>
      </c>
      <c r="M15" s="192">
        <f>'1.ยาทั่วไป'!M15+'2.ยาแพทย์ PCC'!M15+'3.ยาเรื้อรัง 25%'!M15+'4.ยาเรื้อรังฟรี'!M15</f>
        <v>0</v>
      </c>
      <c r="N15" s="192">
        <f>'1.ยาทั่วไป'!N15+'2.ยาแพทย์ PCC'!N15+'3.ยาเรื้อรัง 25%'!N15+'4.ยาเรื้อรังฟรี'!N15</f>
        <v>0</v>
      </c>
      <c r="O15" s="310">
        <f t="shared" si="1"/>
        <v>187295.15999999997</v>
      </c>
      <c r="P15" s="313">
        <f t="shared" si="0"/>
        <v>5.6196810336039647E-2</v>
      </c>
    </row>
    <row r="16" spans="1:17" ht="19.5" customHeight="1" x14ac:dyDescent="0.45">
      <c r="A16" s="25">
        <v>12</v>
      </c>
      <c r="B16" s="26" t="s">
        <v>9</v>
      </c>
      <c r="C16" s="192">
        <f>'1.ยาทั่วไป'!C16+'2.ยาแพทย์ PCC'!C16+'3.ยาเรื้อรัง 25%'!C16+'4.ยาเรื้อรังฟรี'!C16</f>
        <v>5463.99</v>
      </c>
      <c r="D16" s="192">
        <f>'1.ยาทั่วไป'!D16+'2.ยาแพทย์ PCC'!D16+'3.ยาเรื้อรัง 25%'!D16+'4.ยาเรื้อรังฟรี'!D16</f>
        <v>11213.29</v>
      </c>
      <c r="E16" s="192">
        <f>'1.ยาทั่วไป'!E16+'2.ยาแพทย์ PCC'!E16+'3.ยาเรื้อรัง 25%'!E16+'4.ยาเรื้อรังฟรี'!E16</f>
        <v>11784.380000000001</v>
      </c>
      <c r="F16" s="192">
        <f>'1.ยาทั่วไป'!F16+'2.ยาแพทย์ PCC'!F16+'3.ยาเรื้อรัง 25%'!F16+'4.ยาเรื้อรังฟรี'!F16</f>
        <v>11328.73</v>
      </c>
      <c r="G16" s="192">
        <f>'1.ยาทั่วไป'!G16+'2.ยาแพทย์ PCC'!G16+'3.ยาเรื้อรัง 25%'!G16+'4.ยาเรื้อรังฟรี'!G16</f>
        <v>13462.910000000002</v>
      </c>
      <c r="H16" s="192">
        <f>'1.ยาทั่วไป'!H16+'2.ยาแพทย์ PCC'!H16+'3.ยาเรื้อรัง 25%'!H16+'4.ยาเรื้อรังฟรี'!H16</f>
        <v>14288.67</v>
      </c>
      <c r="I16" s="192">
        <f>'1.ยาทั่วไป'!I16+'2.ยาแพทย์ PCC'!I16+'3.ยาเรื้อรัง 25%'!I16+'4.ยาเรื้อรังฟรี'!I16</f>
        <v>15842.42</v>
      </c>
      <c r="J16" s="192">
        <f>'1.ยาทั่วไป'!J16+'2.ยาแพทย์ PCC'!J16+'3.ยาเรื้อรัง 25%'!J16+'4.ยาเรื้อรังฟรี'!J16</f>
        <v>13221.23</v>
      </c>
      <c r="K16" s="192">
        <f>'1.ยาทั่วไป'!K16+'2.ยาแพทย์ PCC'!K16+'3.ยาเรื้อรัง 25%'!K16+'4.ยาเรื้อรังฟรี'!K16</f>
        <v>0</v>
      </c>
      <c r="L16" s="192">
        <f>'1.ยาทั่วไป'!L16+'2.ยาแพทย์ PCC'!L16+'3.ยาเรื้อรัง 25%'!L16+'4.ยาเรื้อรังฟรี'!L16</f>
        <v>0</v>
      </c>
      <c r="M16" s="192">
        <f>'1.ยาทั่วไป'!M16+'2.ยาแพทย์ PCC'!M16+'3.ยาเรื้อรัง 25%'!M16+'4.ยาเรื้อรังฟรี'!M16</f>
        <v>0</v>
      </c>
      <c r="N16" s="192">
        <f>'1.ยาทั่วไป'!N16+'2.ยาแพทย์ PCC'!N16+'3.ยาเรื้อรัง 25%'!N16+'4.ยาเรื้อรังฟรี'!N16</f>
        <v>0</v>
      </c>
      <c r="O16" s="310">
        <f t="shared" si="1"/>
        <v>96605.62</v>
      </c>
      <c r="P16" s="313">
        <f t="shared" si="0"/>
        <v>2.8985947658954556E-2</v>
      </c>
    </row>
    <row r="17" spans="1:16" ht="19.5" customHeight="1" x14ac:dyDescent="0.45">
      <c r="A17" s="25">
        <v>13</v>
      </c>
      <c r="B17" s="26" t="s">
        <v>10</v>
      </c>
      <c r="C17" s="192">
        <f>'1.ยาทั่วไป'!C17+'2.ยาแพทย์ PCC'!C17+'3.ยาเรื้อรัง 25%'!C17+'4.ยาเรื้อรังฟรี'!C17</f>
        <v>13195.79</v>
      </c>
      <c r="D17" s="192">
        <f>'1.ยาทั่วไป'!D17+'2.ยาแพทย์ PCC'!D17+'3.ยาเรื้อรัง 25%'!D17+'4.ยาเรื้อรังฟรี'!D17</f>
        <v>8465</v>
      </c>
      <c r="E17" s="192">
        <f>'1.ยาทั่วไป'!E17+'2.ยาแพทย์ PCC'!E17+'3.ยาเรื้อรัง 25%'!E17+'4.ยาเรื้อรังฟรี'!E17</f>
        <v>15226</v>
      </c>
      <c r="F17" s="192">
        <f>'1.ยาทั่วไป'!F17+'2.ยาแพทย์ PCC'!F17+'3.ยาเรื้อรัง 25%'!F17+'4.ยาเรื้อรังฟรี'!F17</f>
        <v>10076.76</v>
      </c>
      <c r="G17" s="192">
        <f>'1.ยาทั่วไป'!G17+'2.ยาแพทย์ PCC'!G17+'3.ยาเรื้อรัง 25%'!G17+'4.ยาเรื้อรังฟรี'!G17</f>
        <v>18053.22</v>
      </c>
      <c r="H17" s="192">
        <f>'1.ยาทั่วไป'!H17+'2.ยาแพทย์ PCC'!H17+'3.ยาเรื้อรัง 25%'!H17+'4.ยาเรื้อรังฟรี'!H17</f>
        <v>0</v>
      </c>
      <c r="I17" s="192">
        <f>'1.ยาทั่วไป'!I17+'2.ยาแพทย์ PCC'!I17+'3.ยาเรื้อรัง 25%'!I17+'4.ยาเรื้อรังฟรี'!I17</f>
        <v>33992.300000000003</v>
      </c>
      <c r="J17" s="192">
        <f>'1.ยาทั่วไป'!J17+'2.ยาแพทย์ PCC'!J17+'3.ยาเรื้อรัง 25%'!J17+'4.ยาเรื้อรังฟรี'!J17</f>
        <v>23545.61</v>
      </c>
      <c r="K17" s="192">
        <f>'1.ยาทั่วไป'!K17+'2.ยาแพทย์ PCC'!K17+'3.ยาเรื้อรัง 25%'!K17+'4.ยาเรื้อรังฟรี'!K17</f>
        <v>0</v>
      </c>
      <c r="L17" s="192">
        <f>'1.ยาทั่วไป'!L17+'2.ยาแพทย์ PCC'!L17+'3.ยาเรื้อรัง 25%'!L17+'4.ยาเรื้อรังฟรี'!L17</f>
        <v>0</v>
      </c>
      <c r="M17" s="192">
        <f>'1.ยาทั่วไป'!M17+'2.ยาแพทย์ PCC'!M17+'3.ยาเรื้อรัง 25%'!M17+'4.ยาเรื้อรังฟรี'!M17</f>
        <v>0</v>
      </c>
      <c r="N17" s="192">
        <f>'1.ยาทั่วไป'!N17+'2.ยาแพทย์ PCC'!N17+'3.ยาเรื้อรัง 25%'!N17+'4.ยาเรื้อรังฟรี'!N17</f>
        <v>0</v>
      </c>
      <c r="O17" s="310">
        <f t="shared" si="1"/>
        <v>122554.68000000001</v>
      </c>
      <c r="P17" s="313">
        <f t="shared" si="0"/>
        <v>3.6771810375420447E-2</v>
      </c>
    </row>
    <row r="18" spans="1:16" ht="19.5" customHeight="1" x14ac:dyDescent="0.45">
      <c r="A18" s="25">
        <v>14</v>
      </c>
      <c r="B18" s="26" t="s">
        <v>11</v>
      </c>
      <c r="C18" s="192">
        <f>'1.ยาทั่วไป'!C18+'2.ยาแพทย์ PCC'!C18+'3.ยาเรื้อรัง 25%'!C18+'4.ยาเรื้อรังฟรี'!C18</f>
        <v>2996.92</v>
      </c>
      <c r="D18" s="192">
        <f>'1.ยาทั่วไป'!D18+'2.ยาแพทย์ PCC'!D18+'3.ยาเรื้อรัง 25%'!D18+'4.ยาเรื้อรังฟรี'!D18</f>
        <v>5124.78</v>
      </c>
      <c r="E18" s="192">
        <f>'1.ยาทั่วไป'!E18+'2.ยาแพทย์ PCC'!E18+'3.ยาเรื้อรัง 25%'!E18+'4.ยาเรื้อรังฟรี'!E18</f>
        <v>16166.35</v>
      </c>
      <c r="F18" s="192">
        <f>'1.ยาทั่วไป'!F18+'2.ยาแพทย์ PCC'!F18+'3.ยาเรื้อรัง 25%'!F18+'4.ยาเรื้อรังฟรี'!F18</f>
        <v>4216.6499999999996</v>
      </c>
      <c r="G18" s="192">
        <f>'1.ยาทั่วไป'!G18+'2.ยาแพทย์ PCC'!G18+'3.ยาเรื้อรัง 25%'!G18+'4.ยาเรื้อรังฟรี'!G18</f>
        <v>10557.1</v>
      </c>
      <c r="H18" s="192">
        <f>'1.ยาทั่วไป'!H18+'2.ยาแพทย์ PCC'!H18+'3.ยาเรื้อรัง 25%'!H18+'4.ยาเรื้อรังฟรี'!H18</f>
        <v>0</v>
      </c>
      <c r="I18" s="192">
        <f>'1.ยาทั่วไป'!I18+'2.ยาแพทย์ PCC'!I18+'3.ยาเรื้อรัง 25%'!I18+'4.ยาเรื้อรังฟรี'!I18</f>
        <v>9899</v>
      </c>
      <c r="J18" s="192">
        <f>'1.ยาทั่วไป'!J18+'2.ยาแพทย์ PCC'!J18+'3.ยาเรื้อรัง 25%'!J18+'4.ยาเรื้อรังฟรี'!J18</f>
        <v>6361.28</v>
      </c>
      <c r="K18" s="192">
        <f>'1.ยาทั่วไป'!K18+'2.ยาแพทย์ PCC'!K18+'3.ยาเรื้อรัง 25%'!K18+'4.ยาเรื้อรังฟรี'!K18</f>
        <v>0</v>
      </c>
      <c r="L18" s="192">
        <f>'1.ยาทั่วไป'!L18+'2.ยาแพทย์ PCC'!L18+'3.ยาเรื้อรัง 25%'!L18+'4.ยาเรื้อรังฟรี'!L18</f>
        <v>0</v>
      </c>
      <c r="M18" s="192">
        <f>'1.ยาทั่วไป'!M18+'2.ยาแพทย์ PCC'!M18+'3.ยาเรื้อรัง 25%'!M18+'4.ยาเรื้อรังฟรี'!M18</f>
        <v>0</v>
      </c>
      <c r="N18" s="192">
        <f>'1.ยาทั่วไป'!N18+'2.ยาแพทย์ PCC'!N18+'3.ยาเรื้อรัง 25%'!N18+'4.ยาเรื้อรังฟรี'!N18</f>
        <v>0</v>
      </c>
      <c r="O18" s="310">
        <f t="shared" si="1"/>
        <v>55322.079999999994</v>
      </c>
      <c r="P18" s="313">
        <f t="shared" si="0"/>
        <v>1.6599064477454795E-2</v>
      </c>
    </row>
    <row r="19" spans="1:16" ht="19.5" customHeight="1" x14ac:dyDescent="0.45">
      <c r="A19" s="25">
        <v>15</v>
      </c>
      <c r="B19" s="26" t="s">
        <v>12</v>
      </c>
      <c r="C19" s="192">
        <f>'1.ยาทั่วไป'!C19+'2.ยาแพทย์ PCC'!C19+'3.ยาเรื้อรัง 25%'!C19+'4.ยาเรื้อรังฟรี'!C19</f>
        <v>12441.12</v>
      </c>
      <c r="D19" s="192">
        <f>'1.ยาทั่วไป'!D19+'2.ยาแพทย์ PCC'!D19+'3.ยาเรื้อรัง 25%'!D19+'4.ยาเรื้อรังฟรี'!D19</f>
        <v>17728.82</v>
      </c>
      <c r="E19" s="192">
        <f>'1.ยาทั่วไป'!E19+'2.ยาแพทย์ PCC'!E19+'3.ยาเรื้อรัง 25%'!E19+'4.ยาเรื้อรังฟรี'!E19</f>
        <v>17978.34</v>
      </c>
      <c r="F19" s="192">
        <f>'1.ยาทั่วไป'!F19+'2.ยาแพทย์ PCC'!F19+'3.ยาเรื้อรัง 25%'!F19+'4.ยาเรื้อรังฟรี'!F19</f>
        <v>26976.959999999999</v>
      </c>
      <c r="G19" s="192">
        <f>'1.ยาทั่วไป'!G19+'2.ยาแพทย์ PCC'!G19+'3.ยาเรื้อรัง 25%'!G19+'4.ยาเรื้อรังฟรี'!G19</f>
        <v>15443.88</v>
      </c>
      <c r="H19" s="192">
        <f>'1.ยาทั่วไป'!H19+'2.ยาแพทย์ PCC'!H19+'3.ยาเรื้อรัง 25%'!H19+'4.ยาเรื้อรังฟรี'!H19</f>
        <v>21249.809999999998</v>
      </c>
      <c r="I19" s="192">
        <f>'1.ยาทั่วไป'!I19+'2.ยาแพทย์ PCC'!I19+'3.ยาเรื้อรัง 25%'!I19+'4.ยาเรื้อรังฟรี'!I19</f>
        <v>18748.349999999999</v>
      </c>
      <c r="J19" s="192">
        <f>'1.ยาทั่วไป'!J19+'2.ยาแพทย์ PCC'!J19+'3.ยาเรื้อรัง 25%'!J19+'4.ยาเรื้อรังฟรี'!J19</f>
        <v>14183.050000000001</v>
      </c>
      <c r="K19" s="192">
        <f>'1.ยาทั่วไป'!K19+'2.ยาแพทย์ PCC'!K19+'3.ยาเรื้อรัง 25%'!K19+'4.ยาเรื้อรังฟรี'!K19</f>
        <v>0</v>
      </c>
      <c r="L19" s="192">
        <f>'1.ยาทั่วไป'!L19+'2.ยาแพทย์ PCC'!L19+'3.ยาเรื้อรัง 25%'!L19+'4.ยาเรื้อรังฟรี'!L19</f>
        <v>0</v>
      </c>
      <c r="M19" s="192">
        <f>'1.ยาทั่วไป'!M19+'2.ยาแพทย์ PCC'!M19+'3.ยาเรื้อรัง 25%'!M19+'4.ยาเรื้อรังฟรี'!M19</f>
        <v>0</v>
      </c>
      <c r="N19" s="192">
        <f>'1.ยาทั่วไป'!N19+'2.ยาแพทย์ PCC'!N19+'3.ยาเรื้อรัง 25%'!N19+'4.ยาเรื้อรังฟรี'!N19</f>
        <v>0</v>
      </c>
      <c r="O19" s="310">
        <f t="shared" si="1"/>
        <v>144750.32999999999</v>
      </c>
      <c r="P19" s="313">
        <f t="shared" si="0"/>
        <v>4.3431484514010667E-2</v>
      </c>
    </row>
    <row r="20" spans="1:16" ht="19.5" customHeight="1" x14ac:dyDescent="0.45">
      <c r="A20" s="25">
        <v>16</v>
      </c>
      <c r="B20" s="26" t="s">
        <v>13</v>
      </c>
      <c r="C20" s="192">
        <f>'1.ยาทั่วไป'!C20+'2.ยาแพทย์ PCC'!C20+'3.ยาเรื้อรัง 25%'!C20+'4.ยาเรื้อรังฟรี'!C20</f>
        <v>0</v>
      </c>
      <c r="D20" s="192">
        <f>'1.ยาทั่วไป'!D20+'2.ยาแพทย์ PCC'!D20+'3.ยาเรื้อรัง 25%'!D20+'4.ยาเรื้อรังฟรี'!D20</f>
        <v>14468.26</v>
      </c>
      <c r="E20" s="192">
        <f>'1.ยาทั่วไป'!E20+'2.ยาแพทย์ PCC'!E20+'3.ยาเรื้อรัง 25%'!E20+'4.ยาเรื้อรังฟรี'!E20</f>
        <v>16194.1</v>
      </c>
      <c r="F20" s="192">
        <f>'1.ยาทั่วไป'!F20+'2.ยาแพทย์ PCC'!F20+'3.ยาเรื้อรัง 25%'!F20+'4.ยาเรื้อรังฟรี'!F20</f>
        <v>14912.14</v>
      </c>
      <c r="G20" s="192">
        <f>'1.ยาทั่วไป'!G20+'2.ยาแพทย์ PCC'!G20+'3.ยาเรื้อรัง 25%'!G20+'4.ยาเรื้อรังฟรี'!G20</f>
        <v>13735.76</v>
      </c>
      <c r="H20" s="192">
        <f>'1.ยาทั่วไป'!H20+'2.ยาแพทย์ PCC'!H20+'3.ยาเรื้อรัง 25%'!H20+'4.ยาเรื้อรังฟรี'!H20</f>
        <v>15726.59</v>
      </c>
      <c r="I20" s="192">
        <f>'1.ยาทั่วไป'!I20+'2.ยาแพทย์ PCC'!I20+'3.ยาเรื้อรัง 25%'!I20+'4.ยาเรื้อรังฟรี'!I20</f>
        <v>18124.189999999999</v>
      </c>
      <c r="J20" s="192">
        <f>'1.ยาทั่วไป'!J20+'2.ยาแพทย์ PCC'!J20+'3.ยาเรื้อรัง 25%'!J20+'4.ยาเรื้อรังฟรี'!J20</f>
        <v>15547.16</v>
      </c>
      <c r="K20" s="192">
        <f>'1.ยาทั่วไป'!K20+'2.ยาแพทย์ PCC'!K20+'3.ยาเรื้อรัง 25%'!K20+'4.ยาเรื้อรังฟรี'!K20</f>
        <v>0</v>
      </c>
      <c r="L20" s="192">
        <f>'1.ยาทั่วไป'!L20+'2.ยาแพทย์ PCC'!L20+'3.ยาเรื้อรัง 25%'!L20+'4.ยาเรื้อรังฟรี'!L20</f>
        <v>0</v>
      </c>
      <c r="M20" s="192">
        <f>'1.ยาทั่วไป'!M20+'2.ยาแพทย์ PCC'!M20+'3.ยาเรื้อรัง 25%'!M20+'4.ยาเรื้อรังฟรี'!M20</f>
        <v>0</v>
      </c>
      <c r="N20" s="192">
        <f>'1.ยาทั่วไป'!N20+'2.ยาแพทย์ PCC'!N20+'3.ยาเรื้อรัง 25%'!N20+'4.ยาเรื้อรังฟรี'!N20</f>
        <v>0</v>
      </c>
      <c r="O20" s="310">
        <f t="shared" si="1"/>
        <v>108708.20000000001</v>
      </c>
      <c r="P20" s="313">
        <f t="shared" si="0"/>
        <v>3.2617255551997536E-2</v>
      </c>
    </row>
    <row r="21" spans="1:16" ht="19.5" customHeight="1" x14ac:dyDescent="0.45">
      <c r="A21" s="25">
        <v>17</v>
      </c>
      <c r="B21" s="26" t="s">
        <v>14</v>
      </c>
      <c r="C21" s="192">
        <f>'1.ยาทั่วไป'!C21+'2.ยาแพทย์ PCC'!C21+'3.ยาเรื้อรัง 25%'!C21+'4.ยาเรื้อรังฟรี'!C21</f>
        <v>16972.809999999998</v>
      </c>
      <c r="D21" s="192">
        <f>'1.ยาทั่วไป'!D21+'2.ยาแพทย์ PCC'!D21+'3.ยาเรื้อรัง 25%'!D21+'4.ยาเรื้อรังฟรี'!D21</f>
        <v>18337.12</v>
      </c>
      <c r="E21" s="192">
        <f>'1.ยาทั่วไป'!E21+'2.ยาแพทย์ PCC'!E21+'3.ยาเรื้อรัง 25%'!E21+'4.ยาเรื้อรังฟรี'!E21</f>
        <v>15810.06</v>
      </c>
      <c r="F21" s="192">
        <f>'1.ยาทั่วไป'!F21+'2.ยาแพทย์ PCC'!F21+'3.ยาเรื้อรัง 25%'!F21+'4.ยาเรื้อรังฟรี'!F21</f>
        <v>19528.91</v>
      </c>
      <c r="G21" s="192">
        <f>'1.ยาทั่วไป'!G21+'2.ยาแพทย์ PCC'!G21+'3.ยาเรื้อรัง 25%'!G21+'4.ยาเรื้อรังฟรี'!G21</f>
        <v>17727.32</v>
      </c>
      <c r="H21" s="192">
        <f>'1.ยาทั่วไป'!H21+'2.ยาแพทย์ PCC'!H21+'3.ยาเรื้อรัง 25%'!H21+'4.ยาเรื้อรังฟรี'!H21</f>
        <v>24201.010000000002</v>
      </c>
      <c r="I21" s="192">
        <f>'1.ยาทั่วไป'!I21+'2.ยาแพทย์ PCC'!I21+'3.ยาเรื้อรัง 25%'!I21+'4.ยาเรื้อรังฟรี'!I21</f>
        <v>31076.07</v>
      </c>
      <c r="J21" s="192">
        <f>'1.ยาทั่วไป'!J21+'2.ยาแพทย์ PCC'!J21+'3.ยาเรื้อรัง 25%'!J21+'4.ยาเรื้อรังฟรี'!J21</f>
        <v>12834.46</v>
      </c>
      <c r="K21" s="192">
        <f>'1.ยาทั่วไป'!K21+'2.ยาแพทย์ PCC'!K21+'3.ยาเรื้อรัง 25%'!K21+'4.ยาเรื้อรังฟรี'!K21</f>
        <v>0</v>
      </c>
      <c r="L21" s="192">
        <f>'1.ยาทั่วไป'!L21+'2.ยาแพทย์ PCC'!L21+'3.ยาเรื้อรัง 25%'!L21+'4.ยาเรื้อรังฟรี'!L21</f>
        <v>0</v>
      </c>
      <c r="M21" s="192">
        <f>'1.ยาทั่วไป'!M21+'2.ยาแพทย์ PCC'!M21+'3.ยาเรื้อรัง 25%'!M21+'4.ยาเรื้อรังฟรี'!M21</f>
        <v>0</v>
      </c>
      <c r="N21" s="192">
        <f>'1.ยาทั่วไป'!N21+'2.ยาแพทย์ PCC'!N21+'3.ยาเรื้อรัง 25%'!N21+'4.ยาเรื้อรังฟรี'!N21</f>
        <v>0</v>
      </c>
      <c r="O21" s="310">
        <f t="shared" si="1"/>
        <v>156487.76</v>
      </c>
      <c r="P21" s="313">
        <f t="shared" si="0"/>
        <v>4.6953231298831714E-2</v>
      </c>
    </row>
    <row r="22" spans="1:16" ht="19.5" customHeight="1" x14ac:dyDescent="0.45">
      <c r="A22" s="25">
        <v>18</v>
      </c>
      <c r="B22" s="26" t="s">
        <v>15</v>
      </c>
      <c r="C22" s="192">
        <f>'1.ยาทั่วไป'!C22+'2.ยาแพทย์ PCC'!C22+'3.ยาเรื้อรัง 25%'!C22+'4.ยาเรื้อรังฟรี'!C22</f>
        <v>7507.46</v>
      </c>
      <c r="D22" s="192">
        <f>'1.ยาทั่วไป'!D22+'2.ยาแพทย์ PCC'!D22+'3.ยาเรื้อรัง 25%'!D22+'4.ยาเรื้อรังฟรี'!D22</f>
        <v>22914.03</v>
      </c>
      <c r="E22" s="192">
        <f>'1.ยาทั่วไป'!E22+'2.ยาแพทย์ PCC'!E22+'3.ยาเรื้อรัง 25%'!E22+'4.ยาเรื้อรังฟรี'!E22</f>
        <v>11800.92</v>
      </c>
      <c r="F22" s="192">
        <f>'1.ยาทั่วไป'!F22+'2.ยาแพทย์ PCC'!F22+'3.ยาเรื้อรัง 25%'!F22+'4.ยาเรื้อรังฟรี'!F22</f>
        <v>6071.62</v>
      </c>
      <c r="G22" s="192">
        <f>'1.ยาทั่วไป'!G22+'2.ยาแพทย์ PCC'!G22+'3.ยาเรื้อรัง 25%'!G22+'4.ยาเรื้อรังฟรี'!G22</f>
        <v>14397.54</v>
      </c>
      <c r="H22" s="192">
        <f>'1.ยาทั่วไป'!H22+'2.ยาแพทย์ PCC'!H22+'3.ยาเรื้อรัง 25%'!H22+'4.ยาเรื้อรังฟรี'!H22</f>
        <v>5761.21</v>
      </c>
      <c r="I22" s="192">
        <f>'1.ยาทั่วไป'!I22+'2.ยาแพทย์ PCC'!I22+'3.ยาเรื้อรัง 25%'!I22+'4.ยาเรื้อรังฟรี'!I22</f>
        <v>17144.14</v>
      </c>
      <c r="J22" s="192">
        <f>'1.ยาทั่วไป'!J22+'2.ยาแพทย์ PCC'!J22+'3.ยาเรื้อรัง 25%'!J22+'4.ยาเรื้อรังฟรี'!J22</f>
        <v>18123.330000000002</v>
      </c>
      <c r="K22" s="192">
        <f>'1.ยาทั่วไป'!K22+'2.ยาแพทย์ PCC'!K22+'3.ยาเรื้อรัง 25%'!K22+'4.ยาเรื้อรังฟรี'!K22</f>
        <v>0</v>
      </c>
      <c r="L22" s="192">
        <f>'1.ยาทั่วไป'!L22+'2.ยาแพทย์ PCC'!L22+'3.ยาเรื้อรัง 25%'!L22+'4.ยาเรื้อรังฟรี'!L22</f>
        <v>0</v>
      </c>
      <c r="M22" s="192">
        <f>'1.ยาทั่วไป'!M22+'2.ยาแพทย์ PCC'!M22+'3.ยาเรื้อรัง 25%'!M22+'4.ยาเรื้อรังฟรี'!M22</f>
        <v>0</v>
      </c>
      <c r="N22" s="192">
        <f>'1.ยาทั่วไป'!N22+'2.ยาแพทย์ PCC'!N22+'3.ยาเรื้อรัง 25%'!N22+'4.ยาเรื้อรังฟรี'!N22</f>
        <v>0</v>
      </c>
      <c r="O22" s="310">
        <f t="shared" si="1"/>
        <v>103720.25</v>
      </c>
      <c r="P22" s="313">
        <f t="shared" si="0"/>
        <v>3.1120650513641768E-2</v>
      </c>
    </row>
    <row r="23" spans="1:16" s="170" customFormat="1" ht="19.5" customHeight="1" x14ac:dyDescent="0.45">
      <c r="A23" s="45">
        <v>5.486111111111111E-2</v>
      </c>
      <c r="B23" s="153" t="s">
        <v>22</v>
      </c>
      <c r="C23" s="194">
        <f>SUM(C5:C22)</f>
        <v>339459.35</v>
      </c>
      <c r="D23" s="194">
        <f t="shared" ref="D23:N23" si="2">SUM(D5:D22)</f>
        <v>416851.29000000004</v>
      </c>
      <c r="E23" s="194">
        <f t="shared" si="2"/>
        <v>454799.83999999997</v>
      </c>
      <c r="F23" s="194">
        <f t="shared" si="2"/>
        <v>436210.22000000003</v>
      </c>
      <c r="G23" s="194">
        <f t="shared" si="2"/>
        <v>394768.5</v>
      </c>
      <c r="H23" s="194">
        <f t="shared" si="2"/>
        <v>468351.91</v>
      </c>
      <c r="I23" s="194">
        <f t="shared" si="2"/>
        <v>481243.23</v>
      </c>
      <c r="J23" s="194">
        <f t="shared" si="2"/>
        <v>341158.91000000003</v>
      </c>
      <c r="K23" s="194">
        <f t="shared" si="2"/>
        <v>0</v>
      </c>
      <c r="L23" s="194">
        <f t="shared" si="2"/>
        <v>0</v>
      </c>
      <c r="M23" s="194">
        <f t="shared" si="2"/>
        <v>0</v>
      </c>
      <c r="N23" s="194">
        <f t="shared" si="2"/>
        <v>0</v>
      </c>
      <c r="O23" s="311">
        <f t="shared" ref="O23:O26" si="3">SUM(C23:N23)</f>
        <v>3332843.25</v>
      </c>
      <c r="P23" s="314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2">
        <f>'1.ยาทั่วไป'!C24</f>
        <v>42855.979999999996</v>
      </c>
      <c r="D24" s="192">
        <f>'1.ยาทั่วไป'!D24</f>
        <v>37110.58</v>
      </c>
      <c r="E24" s="192">
        <f>'1.ยาทั่วไป'!E24</f>
        <v>30764.09</v>
      </c>
      <c r="F24" s="192">
        <f>'1.ยาทั่วไป'!F24</f>
        <v>50171.55</v>
      </c>
      <c r="G24" s="192">
        <f>'1.ยาทั่วไป'!G24</f>
        <v>28892.089999999997</v>
      </c>
      <c r="H24" s="192">
        <f>'1.ยาทั่วไป'!H24</f>
        <v>20475.560000000001</v>
      </c>
      <c r="I24" s="192">
        <f>'1.ยาทั่วไป'!I24</f>
        <v>18046.38</v>
      </c>
      <c r="J24" s="192">
        <f>'1.ยาทั่วไป'!J24</f>
        <v>30308.71</v>
      </c>
      <c r="K24" s="192">
        <f>'1.ยาทั่วไป'!K24</f>
        <v>0</v>
      </c>
      <c r="L24" s="192">
        <f>'1.ยาทั่วไป'!L24</f>
        <v>0</v>
      </c>
      <c r="M24" s="192">
        <f>'1.ยาทั่วไป'!M24</f>
        <v>0</v>
      </c>
      <c r="N24" s="192">
        <f>'1.ยาทั่วไป'!N24</f>
        <v>0</v>
      </c>
      <c r="O24" s="310">
        <f t="shared" si="3"/>
        <v>258624.94</v>
      </c>
      <c r="P24" s="313">
        <f t="shared" si="0"/>
        <v>7.7598890976945889E-2</v>
      </c>
    </row>
    <row r="25" spans="1:16" ht="19.5" customHeight="1" x14ac:dyDescent="0.45">
      <c r="A25" s="30">
        <v>21</v>
      </c>
      <c r="B25" s="26" t="s">
        <v>17</v>
      </c>
      <c r="C25" s="192">
        <f>'1.ยาทั่วไป'!C25</f>
        <v>0</v>
      </c>
      <c r="D25" s="192">
        <f>'1.ยาทั่วไป'!D25</f>
        <v>0</v>
      </c>
      <c r="E25" s="192">
        <f>'1.ยาทั่วไป'!E25</f>
        <v>0</v>
      </c>
      <c r="F25" s="192">
        <f>'1.ยาทั่วไป'!F25</f>
        <v>0</v>
      </c>
      <c r="G25" s="192">
        <f>'1.ยาทั่วไป'!G25</f>
        <v>0</v>
      </c>
      <c r="H25" s="192">
        <f>'1.ยาทั่วไป'!H25</f>
        <v>0</v>
      </c>
      <c r="I25" s="192">
        <f>'1.ยาทั่วไป'!I25</f>
        <v>0</v>
      </c>
      <c r="J25" s="192">
        <f>'1.ยาทั่วไป'!J25</f>
        <v>0</v>
      </c>
      <c r="K25" s="192">
        <f>'1.ยาทั่วไป'!K25</f>
        <v>0</v>
      </c>
      <c r="L25" s="192">
        <f>'1.ยาทั่วไป'!L25</f>
        <v>0</v>
      </c>
      <c r="M25" s="192">
        <f>'1.ยาทั่วไป'!M25</f>
        <v>0</v>
      </c>
      <c r="N25" s="192">
        <f>'1.ยาทั่วไป'!N25</f>
        <v>0</v>
      </c>
      <c r="O25" s="310">
        <f t="shared" si="3"/>
        <v>0</v>
      </c>
      <c r="P25" s="313">
        <f t="shared" si="0"/>
        <v>0</v>
      </c>
    </row>
    <row r="26" spans="1:16" s="170" customFormat="1" ht="19.5" customHeight="1" x14ac:dyDescent="0.45">
      <c r="A26" s="49" t="s">
        <v>24</v>
      </c>
      <c r="B26" s="151" t="s">
        <v>23</v>
      </c>
      <c r="C26" s="195">
        <f>SUM(C24:C25)</f>
        <v>42855.979999999996</v>
      </c>
      <c r="D26" s="195">
        <f t="shared" ref="D26:N26" si="4">SUM(D24:D25)</f>
        <v>37110.58</v>
      </c>
      <c r="E26" s="195">
        <f t="shared" si="4"/>
        <v>30764.09</v>
      </c>
      <c r="F26" s="195">
        <f t="shared" si="4"/>
        <v>50171.55</v>
      </c>
      <c r="G26" s="195">
        <f t="shared" si="4"/>
        <v>28892.089999999997</v>
      </c>
      <c r="H26" s="195">
        <f t="shared" si="4"/>
        <v>20475.560000000001</v>
      </c>
      <c r="I26" s="195">
        <f t="shared" si="4"/>
        <v>18046.38</v>
      </c>
      <c r="J26" s="195">
        <f t="shared" si="4"/>
        <v>30308.71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312">
        <f t="shared" si="3"/>
        <v>258624.94</v>
      </c>
      <c r="P26" s="318">
        <f t="shared" si="0"/>
        <v>7.7598890976945889E-2</v>
      </c>
    </row>
    <row r="27" spans="1:16" s="206" customFormat="1" ht="19.5" customHeight="1" x14ac:dyDescent="0.45">
      <c r="A27" s="202" t="s">
        <v>26</v>
      </c>
      <c r="B27" s="203" t="s">
        <v>25</v>
      </c>
      <c r="C27" s="204">
        <f>C23+C26</f>
        <v>382315.32999999996</v>
      </c>
      <c r="D27" s="204">
        <f t="shared" ref="D27:M27" si="5">D23+D26</f>
        <v>453961.87000000005</v>
      </c>
      <c r="E27" s="204">
        <f t="shared" si="5"/>
        <v>485563.93</v>
      </c>
      <c r="F27" s="204">
        <f t="shared" si="5"/>
        <v>486381.77</v>
      </c>
      <c r="G27" s="204">
        <f t="shared" si="5"/>
        <v>423660.58999999997</v>
      </c>
      <c r="H27" s="204">
        <f t="shared" si="5"/>
        <v>488827.47</v>
      </c>
      <c r="I27" s="204">
        <f t="shared" si="5"/>
        <v>499289.61</v>
      </c>
      <c r="J27" s="204">
        <f t="shared" si="5"/>
        <v>371467.62000000005</v>
      </c>
      <c r="K27" s="204">
        <f t="shared" si="5"/>
        <v>0</v>
      </c>
      <c r="L27" s="204">
        <f t="shared" si="5"/>
        <v>0</v>
      </c>
      <c r="M27" s="204">
        <f t="shared" si="5"/>
        <v>0</v>
      </c>
      <c r="N27" s="204">
        <f t="shared" ref="N27" si="6">N23+N26</f>
        <v>0</v>
      </c>
      <c r="O27" s="204">
        <f>SUM(C27:N27)</f>
        <v>3591468.19</v>
      </c>
      <c r="P27" s="319">
        <f t="shared" si="0"/>
        <v>1.0775988909769458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13" workbookViewId="0">
      <selection activeCell="C27" sqref="C27:N27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0" customWidth="1"/>
    <col min="16" max="16" width="12.625" style="323" customWidth="1"/>
    <col min="17" max="16384" width="9" style="27"/>
  </cols>
  <sheetData>
    <row r="1" spans="1:17" s="68" customFormat="1" ht="20.25" customHeight="1" x14ac:dyDescent="0.2">
      <c r="A1" s="80"/>
      <c r="C1" s="147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7"/>
      <c r="P1" s="322"/>
      <c r="Q1" s="83"/>
    </row>
    <row r="2" spans="1:17" s="68" customFormat="1" ht="20.25" customHeight="1" x14ac:dyDescent="0.2">
      <c r="A2" s="80"/>
      <c r="C2" s="148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27/05/63</v>
      </c>
      <c r="O2" s="147"/>
      <c r="P2" s="322"/>
      <c r="Q2" s="83"/>
    </row>
    <row r="3" spans="1:17" ht="4.5" customHeight="1" x14ac:dyDescent="0.2"/>
    <row r="4" spans="1:17" s="55" customFormat="1" ht="28.5" customHeight="1" x14ac:dyDescent="0.2">
      <c r="A4" s="199" t="s">
        <v>0</v>
      </c>
      <c r="B4" s="168" t="s">
        <v>1</v>
      </c>
      <c r="C4" s="19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98" t="s">
        <v>39</v>
      </c>
      <c r="P4" s="321" t="s">
        <v>40</v>
      </c>
    </row>
    <row r="5" spans="1:17" ht="18" customHeight="1" x14ac:dyDescent="0.2">
      <c r="A5" s="25">
        <v>1</v>
      </c>
      <c r="B5" s="26" t="s">
        <v>18</v>
      </c>
      <c r="C5" s="200">
        <f>'1.1รวมยาทั้งหมด(1+2+3+4)'!C5+'5.vaccine'!C5</f>
        <v>74369.919999999998</v>
      </c>
      <c r="D5" s="201">
        <f>'1.1รวมยาทั้งหมด(1+2+3+4)'!D5+'5.vaccine'!D5</f>
        <v>94953.39</v>
      </c>
      <c r="E5" s="201">
        <f>'1.1รวมยาทั้งหมด(1+2+3+4)'!E5+'5.vaccine'!E5</f>
        <v>90942.719999999987</v>
      </c>
      <c r="F5" s="201">
        <f>'1.1รวมยาทั้งหมด(1+2+3+4)'!F5+'5.vaccine'!F5</f>
        <v>84233.72</v>
      </c>
      <c r="G5" s="201">
        <f>'1.1รวมยาทั้งหมด(1+2+3+4)'!G5+'5.vaccine'!G5</f>
        <v>86715.46</v>
      </c>
      <c r="H5" s="201">
        <f>'1.1รวมยาทั้งหมด(1+2+3+4)'!H5+'5.vaccine'!H5</f>
        <v>69833.75</v>
      </c>
      <c r="I5" s="201">
        <f>'1.1รวมยาทั้งหมด(1+2+3+4)'!I5+'5.vaccine'!I5</f>
        <v>108140.36</v>
      </c>
      <c r="J5" s="201">
        <f>'1.1รวมยาทั้งหมด(1+2+3+4)'!J5+'5.vaccine'!J5</f>
        <v>66509.960000000006</v>
      </c>
      <c r="K5" s="201">
        <f>'1.1รวมยาทั้งหมด(1+2+3+4)'!K5+'5.vaccine'!K5</f>
        <v>0</v>
      </c>
      <c r="L5" s="201">
        <f>'1.1รวมยาทั้งหมด(1+2+3+4)'!L5+'5.vaccine'!L5</f>
        <v>0</v>
      </c>
      <c r="M5" s="201">
        <f>'1.1รวมยาทั้งหมด(1+2+3+4)'!M5+'5.vaccine'!M5</f>
        <v>0</v>
      </c>
      <c r="N5" s="201">
        <f>'1.1รวมยาทั้งหมด(1+2+3+4)'!N5+'5.vaccine'!N5</f>
        <v>0</v>
      </c>
      <c r="O5" s="213">
        <f>SUM(C5:N5)</f>
        <v>675699.28</v>
      </c>
      <c r="P5" s="324">
        <f t="shared" ref="P5:P27" si="0">O5/$O$23</f>
        <v>0.15385465524402134</v>
      </c>
    </row>
    <row r="6" spans="1:17" ht="18" customHeight="1" x14ac:dyDescent="0.2">
      <c r="A6" s="25">
        <v>2</v>
      </c>
      <c r="B6" s="28" t="s">
        <v>19</v>
      </c>
      <c r="C6" s="200">
        <f>'1.1รวมยาทั้งหมด(1+2+3+4)'!C6+'5.vaccine'!C6</f>
        <v>39617.339999999997</v>
      </c>
      <c r="D6" s="201">
        <f>'1.1รวมยาทั้งหมด(1+2+3+4)'!D6+'5.vaccine'!D6</f>
        <v>63618.85</v>
      </c>
      <c r="E6" s="201">
        <f>'1.1รวมยาทั้งหมด(1+2+3+4)'!E6+'5.vaccine'!E6</f>
        <v>45268.3</v>
      </c>
      <c r="F6" s="201">
        <f>'1.1รวมยาทั้งหมด(1+2+3+4)'!F6+'5.vaccine'!F6</f>
        <v>44234.79</v>
      </c>
      <c r="G6" s="201">
        <f>'1.1รวมยาทั้งหมด(1+2+3+4)'!G6+'5.vaccine'!G6</f>
        <v>52724.06</v>
      </c>
      <c r="H6" s="201">
        <f>'1.1รวมยาทั้งหมด(1+2+3+4)'!H6+'5.vaccine'!H6</f>
        <v>78496.7</v>
      </c>
      <c r="I6" s="201">
        <f>'1.1รวมยาทั้งหมด(1+2+3+4)'!I6+'5.vaccine'!I6</f>
        <v>50648.18</v>
      </c>
      <c r="J6" s="201">
        <f>'1.1รวมยาทั้งหมด(1+2+3+4)'!J6+'5.vaccine'!J6</f>
        <v>38820.93</v>
      </c>
      <c r="K6" s="201">
        <f>'1.1รวมยาทั้งหมด(1+2+3+4)'!K6+'5.vaccine'!K6</f>
        <v>0</v>
      </c>
      <c r="L6" s="201">
        <f>'1.1รวมยาทั้งหมด(1+2+3+4)'!L6+'5.vaccine'!L6</f>
        <v>0</v>
      </c>
      <c r="M6" s="201">
        <f>'1.1รวมยาทั้งหมด(1+2+3+4)'!M6+'5.vaccine'!M6</f>
        <v>0</v>
      </c>
      <c r="N6" s="201">
        <f>'1.1รวมยาทั้งหมด(1+2+3+4)'!N6+'5.vaccine'!N6</f>
        <v>0</v>
      </c>
      <c r="O6" s="213">
        <f t="shared" ref="O6:O22" si="1">SUM(C6:N6)</f>
        <v>413429.14999999997</v>
      </c>
      <c r="P6" s="324">
        <f t="shared" si="0"/>
        <v>9.4136550420889559E-2</v>
      </c>
    </row>
    <row r="7" spans="1:17" ht="18" customHeight="1" x14ac:dyDescent="0.2">
      <c r="A7" s="25">
        <v>3</v>
      </c>
      <c r="B7" s="28" t="s">
        <v>20</v>
      </c>
      <c r="C7" s="200">
        <f>'1.1รวมยาทั้งหมด(1+2+3+4)'!C7+'5.vaccine'!C7</f>
        <v>18993.91</v>
      </c>
      <c r="D7" s="201">
        <f>'1.1รวมยาทั้งหมด(1+2+3+4)'!D7+'5.vaccine'!D7</f>
        <v>10982.22</v>
      </c>
      <c r="E7" s="201">
        <f>'1.1รวมยาทั้งหมด(1+2+3+4)'!E7+'5.vaccine'!E7</f>
        <v>31958.86</v>
      </c>
      <c r="F7" s="201">
        <f>'1.1รวมยาทั้งหมด(1+2+3+4)'!F7+'5.vaccine'!F7</f>
        <v>28147.14</v>
      </c>
      <c r="G7" s="201">
        <f>'1.1รวมยาทั้งหมด(1+2+3+4)'!G7+'5.vaccine'!G7</f>
        <v>25184.46</v>
      </c>
      <c r="H7" s="201">
        <f>'1.1รวมยาทั้งหมด(1+2+3+4)'!H7+'5.vaccine'!H7</f>
        <v>6437.98</v>
      </c>
      <c r="I7" s="201">
        <f>'1.1รวมยาทั้งหมด(1+2+3+4)'!I7+'5.vaccine'!I7</f>
        <v>36267.240000000005</v>
      </c>
      <c r="J7" s="201">
        <f>'1.1รวมยาทั้งหมด(1+2+3+4)'!J7+'5.vaccine'!J7</f>
        <v>18069.43</v>
      </c>
      <c r="K7" s="201">
        <f>'1.1รวมยาทั้งหมด(1+2+3+4)'!K7+'5.vaccine'!K7</f>
        <v>0</v>
      </c>
      <c r="L7" s="201">
        <f>'1.1รวมยาทั้งหมด(1+2+3+4)'!L7+'5.vaccine'!L7</f>
        <v>0</v>
      </c>
      <c r="M7" s="201">
        <f>'1.1รวมยาทั้งหมด(1+2+3+4)'!M7+'5.vaccine'!M7</f>
        <v>0</v>
      </c>
      <c r="N7" s="201">
        <f>'1.1รวมยาทั้งหมด(1+2+3+4)'!N7+'5.vaccine'!N7</f>
        <v>0</v>
      </c>
      <c r="O7" s="213">
        <f t="shared" si="1"/>
        <v>176041.24</v>
      </c>
      <c r="P7" s="324">
        <f t="shared" si="0"/>
        <v>4.0084050835350916E-2</v>
      </c>
    </row>
    <row r="8" spans="1:17" ht="18" customHeight="1" x14ac:dyDescent="0.2">
      <c r="A8" s="25">
        <v>4</v>
      </c>
      <c r="B8" s="28" t="s">
        <v>21</v>
      </c>
      <c r="C8" s="200">
        <f>'1.1รวมยาทั้งหมด(1+2+3+4)'!C8+'5.vaccine'!C8</f>
        <v>20894.47</v>
      </c>
      <c r="D8" s="201">
        <f>'1.1รวมยาทั้งหมด(1+2+3+4)'!D8+'5.vaccine'!D8</f>
        <v>201152.6</v>
      </c>
      <c r="E8" s="201">
        <f>'1.1รวมยาทั้งหมด(1+2+3+4)'!E8+'5.vaccine'!E8</f>
        <v>51831.409999999996</v>
      </c>
      <c r="F8" s="201">
        <f>'1.1รวมยาทั้งหมด(1+2+3+4)'!F8+'5.vaccine'!F8</f>
        <v>129251.72</v>
      </c>
      <c r="G8" s="201">
        <f>'1.1รวมยาทั้งหมด(1+2+3+4)'!G8+'5.vaccine'!G8</f>
        <v>27949.53</v>
      </c>
      <c r="H8" s="201">
        <f>'1.1รวมยาทั้งหมด(1+2+3+4)'!H8+'5.vaccine'!H8</f>
        <v>65748.89</v>
      </c>
      <c r="I8" s="201">
        <f>'1.1รวมยาทั้งหมด(1+2+3+4)'!I8+'5.vaccine'!I8</f>
        <v>61576.86</v>
      </c>
      <c r="J8" s="201">
        <f>'1.1รวมยาทั้งหมด(1+2+3+4)'!J8+'5.vaccine'!J8</f>
        <v>33330.57</v>
      </c>
      <c r="K8" s="201">
        <f>'1.1รวมยาทั้งหมด(1+2+3+4)'!K8+'5.vaccine'!K8</f>
        <v>0</v>
      </c>
      <c r="L8" s="201">
        <f>'1.1รวมยาทั้งหมด(1+2+3+4)'!L8+'5.vaccine'!L8</f>
        <v>0</v>
      </c>
      <c r="M8" s="201">
        <f>'1.1รวมยาทั้งหมด(1+2+3+4)'!M8+'5.vaccine'!M8</f>
        <v>0</v>
      </c>
      <c r="N8" s="201">
        <f>'1.1รวมยาทั้งหมด(1+2+3+4)'!N8+'5.vaccine'!N8</f>
        <v>0</v>
      </c>
      <c r="O8" s="213">
        <f t="shared" si="1"/>
        <v>591736.04999999993</v>
      </c>
      <c r="P8" s="324">
        <f t="shared" si="0"/>
        <v>0.13473648509468436</v>
      </c>
    </row>
    <row r="9" spans="1:17" ht="18" customHeight="1" x14ac:dyDescent="0.2">
      <c r="A9" s="25">
        <v>5</v>
      </c>
      <c r="B9" s="28" t="s">
        <v>2</v>
      </c>
      <c r="C9" s="200">
        <f>'1.1รวมยาทั้งหมด(1+2+3+4)'!C9+'5.vaccine'!C9</f>
        <v>47747.34</v>
      </c>
      <c r="D9" s="201">
        <f>'1.1รวมยาทั้งหมด(1+2+3+4)'!D9+'5.vaccine'!D9</f>
        <v>14315.130000000001</v>
      </c>
      <c r="E9" s="201">
        <f>'1.1รวมยาทั้งหมด(1+2+3+4)'!E9+'5.vaccine'!E9</f>
        <v>37340.639999999999</v>
      </c>
      <c r="F9" s="201">
        <f>'1.1รวมยาทั้งหมด(1+2+3+4)'!F9+'5.vaccine'!F9</f>
        <v>27588.81</v>
      </c>
      <c r="G9" s="201">
        <f>'1.1รวมยาทั้งหมด(1+2+3+4)'!G9+'5.vaccine'!G9</f>
        <v>11296.279999999999</v>
      </c>
      <c r="H9" s="201">
        <f>'1.1รวมยาทั้งหมด(1+2+3+4)'!H9+'5.vaccine'!H9</f>
        <v>23713.3</v>
      </c>
      <c r="I9" s="201">
        <f>'1.1รวมยาทั้งหมด(1+2+3+4)'!I9+'5.vaccine'!I9</f>
        <v>33194.81</v>
      </c>
      <c r="J9" s="201">
        <f>'1.1รวมยาทั้งหมด(1+2+3+4)'!J9+'5.vaccine'!J9</f>
        <v>38716.369999999995</v>
      </c>
      <c r="K9" s="201">
        <f>'1.1รวมยาทั้งหมด(1+2+3+4)'!K9+'5.vaccine'!K9</f>
        <v>0</v>
      </c>
      <c r="L9" s="201">
        <f>'1.1รวมยาทั้งหมด(1+2+3+4)'!L9+'5.vaccine'!L9</f>
        <v>0</v>
      </c>
      <c r="M9" s="201">
        <f>'1.1รวมยาทั้งหมด(1+2+3+4)'!M9+'5.vaccine'!M9</f>
        <v>0</v>
      </c>
      <c r="N9" s="201">
        <f>'1.1รวมยาทั้งหมด(1+2+3+4)'!N9+'5.vaccine'!N9</f>
        <v>0</v>
      </c>
      <c r="O9" s="213">
        <f t="shared" si="1"/>
        <v>233912.68</v>
      </c>
      <c r="P9" s="324">
        <f t="shared" si="0"/>
        <v>5.3261200365057486E-2</v>
      </c>
    </row>
    <row r="10" spans="1:17" ht="18" customHeight="1" x14ac:dyDescent="0.2">
      <c r="A10" s="25">
        <v>6</v>
      </c>
      <c r="B10" s="28" t="s">
        <v>3</v>
      </c>
      <c r="C10" s="200">
        <f>'1.1รวมยาทั้งหมด(1+2+3+4)'!C10+'5.vaccine'!C10</f>
        <v>23602.170000000002</v>
      </c>
      <c r="D10" s="201">
        <f>'1.1รวมยาทั้งหมด(1+2+3+4)'!D10+'5.vaccine'!D10</f>
        <v>11653.560000000001</v>
      </c>
      <c r="E10" s="201">
        <f>'1.1รวมยาทั้งหมด(1+2+3+4)'!E10+'5.vaccine'!E10</f>
        <v>22556.61</v>
      </c>
      <c r="F10" s="201">
        <f>'1.1รวมยาทั้งหมด(1+2+3+4)'!F10+'5.vaccine'!F10</f>
        <v>19317.91</v>
      </c>
      <c r="G10" s="201">
        <f>'1.1รวมยาทั้งหมด(1+2+3+4)'!G10+'5.vaccine'!G10</f>
        <v>27645.96</v>
      </c>
      <c r="H10" s="201">
        <f>'1.1รวมยาทั้งหมด(1+2+3+4)'!H10+'5.vaccine'!H10</f>
        <v>27425.919999999998</v>
      </c>
      <c r="I10" s="201">
        <f>'1.1รวมยาทั้งหมด(1+2+3+4)'!I10+'5.vaccine'!I10</f>
        <v>15350.400000000001</v>
      </c>
      <c r="J10" s="201">
        <f>'1.1รวมยาทั้งหมด(1+2+3+4)'!J10+'5.vaccine'!J10</f>
        <v>16393.009999999998</v>
      </c>
      <c r="K10" s="201">
        <f>'1.1รวมยาทั้งหมด(1+2+3+4)'!K10+'5.vaccine'!K10</f>
        <v>0</v>
      </c>
      <c r="L10" s="201">
        <f>'1.1รวมยาทั้งหมด(1+2+3+4)'!L10+'5.vaccine'!L10</f>
        <v>0</v>
      </c>
      <c r="M10" s="201">
        <f>'1.1รวมยาทั้งหมด(1+2+3+4)'!M10+'5.vaccine'!M10</f>
        <v>0</v>
      </c>
      <c r="N10" s="201">
        <f>'1.1รวมยาทั้งหมด(1+2+3+4)'!N10+'5.vaccine'!N10</f>
        <v>0</v>
      </c>
      <c r="O10" s="213">
        <f t="shared" si="1"/>
        <v>163945.54</v>
      </c>
      <c r="P10" s="324">
        <f t="shared" si="0"/>
        <v>3.7329897014978186E-2</v>
      </c>
    </row>
    <row r="11" spans="1:17" ht="18" customHeight="1" x14ac:dyDescent="0.2">
      <c r="A11" s="25">
        <v>7</v>
      </c>
      <c r="B11" s="28" t="s">
        <v>4</v>
      </c>
      <c r="C11" s="200">
        <f>'1.1รวมยาทั้งหมด(1+2+3+4)'!C11+'5.vaccine'!C11</f>
        <v>35385.599999999999</v>
      </c>
      <c r="D11" s="201">
        <f>'1.1รวมยาทั้งหมด(1+2+3+4)'!D11+'5.vaccine'!D11</f>
        <v>14835.18</v>
      </c>
      <c r="E11" s="201">
        <f>'1.1รวมยาทั้งหมด(1+2+3+4)'!E11+'5.vaccine'!E11</f>
        <v>32945.31</v>
      </c>
      <c r="F11" s="201">
        <f>'1.1รวมยาทั้งหมด(1+2+3+4)'!F11+'5.vaccine'!F11</f>
        <v>51377.549999999996</v>
      </c>
      <c r="G11" s="201">
        <f>'1.1รวมยาทั้งหมด(1+2+3+4)'!G11+'5.vaccine'!G11</f>
        <v>30035.269999999997</v>
      </c>
      <c r="H11" s="201">
        <f>'1.1รวมยาทั้งหมด(1+2+3+4)'!H11+'5.vaccine'!H11</f>
        <v>14521.86</v>
      </c>
      <c r="I11" s="201">
        <f>'1.1รวมยาทั้งหมด(1+2+3+4)'!I11+'5.vaccine'!I11</f>
        <v>33577.01</v>
      </c>
      <c r="J11" s="201">
        <f>'1.1รวมยาทั้งหมด(1+2+3+4)'!J11+'5.vaccine'!J11</f>
        <v>22004.29</v>
      </c>
      <c r="K11" s="201">
        <f>'1.1รวมยาทั้งหมด(1+2+3+4)'!K11+'5.vaccine'!K11</f>
        <v>0</v>
      </c>
      <c r="L11" s="201">
        <f>'1.1รวมยาทั้งหมด(1+2+3+4)'!L11+'5.vaccine'!L11</f>
        <v>0</v>
      </c>
      <c r="M11" s="201">
        <f>'1.1รวมยาทั้งหมด(1+2+3+4)'!M11+'5.vaccine'!M11</f>
        <v>0</v>
      </c>
      <c r="N11" s="201">
        <f>'1.1รวมยาทั้งหมด(1+2+3+4)'!N11+'5.vaccine'!N11</f>
        <v>0</v>
      </c>
      <c r="O11" s="213">
        <f t="shared" si="1"/>
        <v>234682.06999999998</v>
      </c>
      <c r="P11" s="324">
        <f t="shared" si="0"/>
        <v>5.3436388110112053E-2</v>
      </c>
    </row>
    <row r="12" spans="1:17" ht="18" customHeight="1" x14ac:dyDescent="0.2">
      <c r="A12" s="25">
        <v>8</v>
      </c>
      <c r="B12" s="28" t="s">
        <v>5</v>
      </c>
      <c r="C12" s="200">
        <f>'1.1รวมยาทั้งหมด(1+2+3+4)'!C12+'5.vaccine'!C12</f>
        <v>12219.68</v>
      </c>
      <c r="D12" s="201">
        <f>'1.1รวมยาทั้งหมด(1+2+3+4)'!D12+'5.vaccine'!D12</f>
        <v>52842.42</v>
      </c>
      <c r="E12" s="201">
        <f>'1.1รวมยาทั้งหมด(1+2+3+4)'!E12+'5.vaccine'!E12</f>
        <v>41599.519999999997</v>
      </c>
      <c r="F12" s="201">
        <f>'1.1รวมยาทั้งหมด(1+2+3+4)'!F12+'5.vaccine'!F12</f>
        <v>29282.082999999999</v>
      </c>
      <c r="G12" s="201">
        <f>'1.1รวมยาทั้งหมด(1+2+3+4)'!G12+'5.vaccine'!G12</f>
        <v>45381.740000000005</v>
      </c>
      <c r="H12" s="201">
        <f>'1.1รวมยาทั้งหมด(1+2+3+4)'!H12+'5.vaccine'!H12</f>
        <v>67482.09</v>
      </c>
      <c r="I12" s="201">
        <f>'1.1รวมยาทั้งหมด(1+2+3+4)'!I12+'5.vaccine'!I12</f>
        <v>29351.699999999997</v>
      </c>
      <c r="J12" s="201">
        <f>'1.1รวมยาทั้งหมด(1+2+3+4)'!J12+'5.vaccine'!J12</f>
        <v>42145.25</v>
      </c>
      <c r="K12" s="201">
        <f>'1.1รวมยาทั้งหมด(1+2+3+4)'!K12+'5.vaccine'!K12</f>
        <v>0</v>
      </c>
      <c r="L12" s="201">
        <f>'1.1รวมยาทั้งหมด(1+2+3+4)'!L12+'5.vaccine'!L12</f>
        <v>0</v>
      </c>
      <c r="M12" s="201">
        <f>'1.1รวมยาทั้งหมด(1+2+3+4)'!M12+'5.vaccine'!M12</f>
        <v>0</v>
      </c>
      <c r="N12" s="201">
        <f>'1.1รวมยาทั้งหมด(1+2+3+4)'!N12+'5.vaccine'!N12</f>
        <v>0</v>
      </c>
      <c r="O12" s="213">
        <f t="shared" si="1"/>
        <v>320304.48299999995</v>
      </c>
      <c r="P12" s="324">
        <f t="shared" si="0"/>
        <v>7.2932349143659703E-2</v>
      </c>
    </row>
    <row r="13" spans="1:17" ht="18" customHeight="1" x14ac:dyDescent="0.2">
      <c r="A13" s="25">
        <v>9</v>
      </c>
      <c r="B13" s="28" t="s">
        <v>6</v>
      </c>
      <c r="C13" s="200">
        <f>'1.1รวมยาทั้งหมด(1+2+3+4)'!C13+'5.vaccine'!C13</f>
        <v>19900.28</v>
      </c>
      <c r="D13" s="201">
        <f>'1.1รวมยาทั้งหมด(1+2+3+4)'!D13+'5.vaccine'!D13</f>
        <v>15400.71</v>
      </c>
      <c r="E13" s="201">
        <f>'1.1รวมยาทั้งหมด(1+2+3+4)'!E13+'5.vaccine'!E13</f>
        <v>18023.949999999997</v>
      </c>
      <c r="F13" s="201">
        <f>'1.1รวมยาทั้งหมด(1+2+3+4)'!F13+'5.vaccine'!F13</f>
        <v>23429.54</v>
      </c>
      <c r="G13" s="201">
        <f>'1.1รวมยาทั้งหมด(1+2+3+4)'!G13+'5.vaccine'!G13</f>
        <v>29413.66</v>
      </c>
      <c r="H13" s="201">
        <f>'1.1รวมยาทั้งหมด(1+2+3+4)'!H13+'5.vaccine'!H13</f>
        <v>14626.029999999999</v>
      </c>
      <c r="I13" s="201">
        <f>'1.1รวมยาทั้งหมด(1+2+3+4)'!I13+'5.vaccine'!I13</f>
        <v>30912.53</v>
      </c>
      <c r="J13" s="201">
        <f>'1.1รวมยาทั้งหมด(1+2+3+4)'!J13+'5.vaccine'!J13</f>
        <v>11359.86</v>
      </c>
      <c r="K13" s="201">
        <f>'1.1รวมยาทั้งหมด(1+2+3+4)'!K13+'5.vaccine'!K13</f>
        <v>0</v>
      </c>
      <c r="L13" s="201">
        <f>'1.1รวมยาทั้งหมด(1+2+3+4)'!L13+'5.vaccine'!L13</f>
        <v>0</v>
      </c>
      <c r="M13" s="201">
        <f>'1.1รวมยาทั้งหมด(1+2+3+4)'!M13+'5.vaccine'!M13</f>
        <v>0</v>
      </c>
      <c r="N13" s="201">
        <f>'1.1รวมยาทั้งหมด(1+2+3+4)'!N13+'5.vaccine'!N13</f>
        <v>0</v>
      </c>
      <c r="O13" s="213">
        <f t="shared" si="1"/>
        <v>163066.56</v>
      </c>
      <c r="P13" s="324">
        <f t="shared" si="0"/>
        <v>3.7129755962783499E-2</v>
      </c>
    </row>
    <row r="14" spans="1:17" ht="18" customHeight="1" x14ac:dyDescent="0.2">
      <c r="A14" s="25">
        <v>10</v>
      </c>
      <c r="B14" s="28" t="s">
        <v>7</v>
      </c>
      <c r="C14" s="200">
        <f>'1.1รวมยาทั้งหมด(1+2+3+4)'!C14+'5.vaccine'!C14</f>
        <v>4163.26</v>
      </c>
      <c r="D14" s="201">
        <f>'1.1รวมยาทั้งหมด(1+2+3+4)'!D14+'5.vaccine'!D14</f>
        <v>10471.52</v>
      </c>
      <c r="E14" s="201">
        <f>'1.1รวมยาทั้งหมด(1+2+3+4)'!E14+'5.vaccine'!E14</f>
        <v>10204.58</v>
      </c>
      <c r="F14" s="201">
        <f>'1.1รวมยาทั้งหมด(1+2+3+4)'!F14+'5.vaccine'!F14</f>
        <v>20012.61</v>
      </c>
      <c r="G14" s="201">
        <f>'1.1รวมยาทั้งหมด(1+2+3+4)'!G14+'5.vaccine'!G14</f>
        <v>16021.439999999999</v>
      </c>
      <c r="H14" s="201">
        <f>'1.1รวมยาทั้งหมด(1+2+3+4)'!H14+'5.vaccine'!H14</f>
        <v>29805.839999999997</v>
      </c>
      <c r="I14" s="201">
        <f>'1.1รวมยาทั้งหมด(1+2+3+4)'!I14+'5.vaccine'!I14</f>
        <v>5426.29</v>
      </c>
      <c r="J14" s="201">
        <f>'1.1รวมยาทั้งหมด(1+2+3+4)'!J14+'5.vaccine'!J14</f>
        <v>15251.560000000001</v>
      </c>
      <c r="K14" s="201">
        <f>'1.1รวมยาทั้งหมด(1+2+3+4)'!K14+'5.vaccine'!K14</f>
        <v>0</v>
      </c>
      <c r="L14" s="201">
        <f>'1.1รวมยาทั้งหมด(1+2+3+4)'!L14+'5.vaccine'!L14</f>
        <v>0</v>
      </c>
      <c r="M14" s="201">
        <f>'1.1รวมยาทั้งหมด(1+2+3+4)'!M14+'5.vaccine'!M14</f>
        <v>0</v>
      </c>
      <c r="N14" s="201">
        <f>'1.1รวมยาทั้งหมด(1+2+3+4)'!N14+'5.vaccine'!N14</f>
        <v>0</v>
      </c>
      <c r="O14" s="213">
        <f t="shared" si="1"/>
        <v>111357.09999999999</v>
      </c>
      <c r="P14" s="324">
        <f t="shared" si="0"/>
        <v>2.5355670394489698E-2</v>
      </c>
    </row>
    <row r="15" spans="1:17" ht="18" customHeight="1" x14ac:dyDescent="0.2">
      <c r="A15" s="25">
        <v>11</v>
      </c>
      <c r="B15" s="28" t="s">
        <v>8</v>
      </c>
      <c r="C15" s="200">
        <f>'1.1รวมยาทั้งหมด(1+2+3+4)'!C15+'5.vaccine'!C15</f>
        <v>32895.14</v>
      </c>
      <c r="D15" s="201">
        <f>'1.1รวมยาทั้งหมด(1+2+3+4)'!D15+'5.vaccine'!D15</f>
        <v>27228</v>
      </c>
      <c r="E15" s="201">
        <f>'1.1รวมยาทั้งหมด(1+2+3+4)'!E15+'5.vaccine'!E15</f>
        <v>20194.189999999999</v>
      </c>
      <c r="F15" s="201">
        <f>'1.1รวมยาทั้งหมด(1+2+3+4)'!F15+'5.vaccine'!F15</f>
        <v>33247.909999999996</v>
      </c>
      <c r="G15" s="201">
        <f>'1.1รวมยาทั้งหมด(1+2+3+4)'!G15+'5.vaccine'!G15</f>
        <v>30767.87</v>
      </c>
      <c r="H15" s="201">
        <f>'1.1รวมยาทั้งหมด(1+2+3+4)'!H15+'5.vaccine'!H15</f>
        <v>50072.33</v>
      </c>
      <c r="I15" s="201">
        <f>'1.1รวมยาทั้งหมด(1+2+3+4)'!I15+'5.vaccine'!I15</f>
        <v>8989.9</v>
      </c>
      <c r="J15" s="201">
        <f>'1.1รวมยาทั้งหมด(1+2+3+4)'!J15+'5.vaccine'!J15</f>
        <v>13828.24</v>
      </c>
      <c r="K15" s="201">
        <f>'1.1รวมยาทั้งหมด(1+2+3+4)'!K15+'5.vaccine'!K15</f>
        <v>0</v>
      </c>
      <c r="L15" s="201">
        <f>'1.1รวมยาทั้งหมด(1+2+3+4)'!L15+'5.vaccine'!L15</f>
        <v>0</v>
      </c>
      <c r="M15" s="201">
        <f>'1.1รวมยาทั้งหมด(1+2+3+4)'!M15+'5.vaccine'!M15</f>
        <v>0</v>
      </c>
      <c r="N15" s="201">
        <f>'1.1รวมยาทั้งหมด(1+2+3+4)'!N15+'5.vaccine'!N15</f>
        <v>0</v>
      </c>
      <c r="O15" s="213">
        <f t="shared" si="1"/>
        <v>217223.58</v>
      </c>
      <c r="P15" s="324">
        <f t="shared" si="0"/>
        <v>4.9461143442053219E-2</v>
      </c>
    </row>
    <row r="16" spans="1:17" ht="18" customHeight="1" x14ac:dyDescent="0.2">
      <c r="A16" s="25">
        <v>12</v>
      </c>
      <c r="B16" s="28" t="s">
        <v>9</v>
      </c>
      <c r="C16" s="200">
        <f>'1.1รวมยาทั้งหมด(1+2+3+4)'!C16+'5.vaccine'!C16</f>
        <v>7142.59</v>
      </c>
      <c r="D16" s="201">
        <f>'1.1รวมยาทั้งหมด(1+2+3+4)'!D16+'5.vaccine'!D16</f>
        <v>20863.25</v>
      </c>
      <c r="E16" s="201">
        <f>'1.1รวมยาทั้งหมด(1+2+3+4)'!E16+'5.vaccine'!E16</f>
        <v>15630.810000000001</v>
      </c>
      <c r="F16" s="201">
        <f>'1.1รวมยาทั้งหมด(1+2+3+4)'!F16+'5.vaccine'!F16</f>
        <v>11328.73</v>
      </c>
      <c r="G16" s="201">
        <f>'1.1รวมยาทั้งหมด(1+2+3+4)'!G16+'5.vaccine'!G16</f>
        <v>19870.45</v>
      </c>
      <c r="H16" s="201">
        <f>'1.1รวมยาทั้งหมด(1+2+3+4)'!H16+'5.vaccine'!H16</f>
        <v>21005.25</v>
      </c>
      <c r="I16" s="201">
        <f>'1.1รวมยาทั้งหมด(1+2+3+4)'!I16+'5.vaccine'!I16</f>
        <v>17171.8</v>
      </c>
      <c r="J16" s="201">
        <f>'1.1รวมยาทั้งหมด(1+2+3+4)'!J16+'5.vaccine'!J16</f>
        <v>24589.510000000002</v>
      </c>
      <c r="K16" s="201">
        <f>'1.1รวมยาทั้งหมด(1+2+3+4)'!K16+'5.vaccine'!K16</f>
        <v>0</v>
      </c>
      <c r="L16" s="201">
        <f>'1.1รวมยาทั้งหมด(1+2+3+4)'!L16+'5.vaccine'!L16</f>
        <v>0</v>
      </c>
      <c r="M16" s="201">
        <f>'1.1รวมยาทั้งหมด(1+2+3+4)'!M16+'5.vaccine'!M16</f>
        <v>0</v>
      </c>
      <c r="N16" s="201">
        <f>'1.1รวมยาทั้งหมด(1+2+3+4)'!N16+'5.vaccine'!N16</f>
        <v>0</v>
      </c>
      <c r="O16" s="213">
        <f t="shared" si="1"/>
        <v>137602.39000000001</v>
      </c>
      <c r="P16" s="324">
        <f t="shared" si="0"/>
        <v>3.1331642493689457E-2</v>
      </c>
    </row>
    <row r="17" spans="1:16" ht="18" customHeight="1" x14ac:dyDescent="0.2">
      <c r="A17" s="25">
        <v>13</v>
      </c>
      <c r="B17" s="28" t="s">
        <v>10</v>
      </c>
      <c r="C17" s="200">
        <f>'1.1รวมยาทั้งหมด(1+2+3+4)'!C17+'5.vaccine'!C17</f>
        <v>16763.47</v>
      </c>
      <c r="D17" s="201">
        <f>'1.1รวมยาทั้งหมด(1+2+3+4)'!D17+'5.vaccine'!D17</f>
        <v>13852.68</v>
      </c>
      <c r="E17" s="201">
        <f>'1.1รวมยาทั้งหมด(1+2+3+4)'!E17+'5.vaccine'!E17</f>
        <v>21387.9</v>
      </c>
      <c r="F17" s="201">
        <f>'1.1รวมยาทั้งหมด(1+2+3+4)'!F17+'5.vaccine'!F17</f>
        <v>12833.470000000001</v>
      </c>
      <c r="G17" s="201">
        <f>'1.1รวมยาทั้งหมด(1+2+3+4)'!G17+'5.vaccine'!G17</f>
        <v>29478.370000000003</v>
      </c>
      <c r="H17" s="201">
        <f>'1.1รวมยาทั้งหมด(1+2+3+4)'!H17+'5.vaccine'!H17</f>
        <v>7600.18</v>
      </c>
      <c r="I17" s="201">
        <f>'1.1รวมยาทั้งหมด(1+2+3+4)'!I17+'5.vaccine'!I17</f>
        <v>38897.01</v>
      </c>
      <c r="J17" s="201">
        <f>'1.1รวมยาทั้งหมด(1+2+3+4)'!J17+'5.vaccine'!J17</f>
        <v>28243.1</v>
      </c>
      <c r="K17" s="201">
        <f>'1.1รวมยาทั้งหมด(1+2+3+4)'!K17+'5.vaccine'!K17</f>
        <v>0</v>
      </c>
      <c r="L17" s="201">
        <f>'1.1รวมยาทั้งหมด(1+2+3+4)'!L17+'5.vaccine'!L17</f>
        <v>0</v>
      </c>
      <c r="M17" s="201">
        <f>'1.1รวมยาทั้งหมด(1+2+3+4)'!M17+'5.vaccine'!M17</f>
        <v>0</v>
      </c>
      <c r="N17" s="201">
        <f>'1.1รวมยาทั้งหมด(1+2+3+4)'!N17+'5.vaccine'!N17</f>
        <v>0</v>
      </c>
      <c r="O17" s="213">
        <f t="shared" si="1"/>
        <v>169056.18000000002</v>
      </c>
      <c r="P17" s="324">
        <f t="shared" si="0"/>
        <v>3.8493574080427043E-2</v>
      </c>
    </row>
    <row r="18" spans="1:16" ht="18" customHeight="1" x14ac:dyDescent="0.2">
      <c r="A18" s="25">
        <v>14</v>
      </c>
      <c r="B18" s="28" t="s">
        <v>11</v>
      </c>
      <c r="C18" s="200">
        <f>'1.1รวมยาทั้งหมด(1+2+3+4)'!C18+'5.vaccine'!C18</f>
        <v>5518.1399999999994</v>
      </c>
      <c r="D18" s="201">
        <f>'1.1รวมยาทั้งหมด(1+2+3+4)'!D18+'5.vaccine'!D18</f>
        <v>10876.84</v>
      </c>
      <c r="E18" s="201">
        <f>'1.1รวมยาทั้งหมด(1+2+3+4)'!E18+'5.vaccine'!E18</f>
        <v>18765.43</v>
      </c>
      <c r="F18" s="201">
        <f>'1.1รวมยาทั้งหมด(1+2+3+4)'!F18+'5.vaccine'!F18</f>
        <v>9188.5999999999985</v>
      </c>
      <c r="G18" s="201">
        <f>'1.1รวมยาทั้งหมด(1+2+3+4)'!G18+'5.vaccine'!G18</f>
        <v>16185.62</v>
      </c>
      <c r="H18" s="201">
        <f>'1.1รวมยาทั้งหมด(1+2+3+4)'!H18+'5.vaccine'!H18</f>
        <v>1804.36</v>
      </c>
      <c r="I18" s="201">
        <f>'1.1รวมยาทั้งหมด(1+2+3+4)'!I18+'5.vaccine'!I18</f>
        <v>13306</v>
      </c>
      <c r="J18" s="201">
        <f>'1.1รวมยาทั้งหมด(1+2+3+4)'!J18+'5.vaccine'!J18</f>
        <v>15938.739999999998</v>
      </c>
      <c r="K18" s="201">
        <f>'1.1รวมยาทั้งหมด(1+2+3+4)'!K18+'5.vaccine'!K18</f>
        <v>0</v>
      </c>
      <c r="L18" s="201">
        <f>'1.1รวมยาทั้งหมด(1+2+3+4)'!L18+'5.vaccine'!L18</f>
        <v>0</v>
      </c>
      <c r="M18" s="201">
        <f>'1.1รวมยาทั้งหมด(1+2+3+4)'!M18+'5.vaccine'!M18</f>
        <v>0</v>
      </c>
      <c r="N18" s="201">
        <f>'1.1รวมยาทั้งหมด(1+2+3+4)'!N18+'5.vaccine'!N18</f>
        <v>0</v>
      </c>
      <c r="O18" s="213">
        <f t="shared" si="1"/>
        <v>91583.73000000001</v>
      </c>
      <c r="P18" s="324">
        <f t="shared" si="0"/>
        <v>2.0853334644831256E-2</v>
      </c>
    </row>
    <row r="19" spans="1:16" ht="18" customHeight="1" x14ac:dyDescent="0.2">
      <c r="A19" s="25">
        <v>15</v>
      </c>
      <c r="B19" s="28" t="s">
        <v>12</v>
      </c>
      <c r="C19" s="200">
        <f>'1.1รวมยาทั้งหมด(1+2+3+4)'!C19+'5.vaccine'!C19</f>
        <v>18865.400000000001</v>
      </c>
      <c r="D19" s="201">
        <f>'1.1รวมยาทั้งหมด(1+2+3+4)'!D19+'5.vaccine'!D19</f>
        <v>28970.949999999997</v>
      </c>
      <c r="E19" s="201">
        <f>'1.1รวมยาทั้งหมด(1+2+3+4)'!E19+'5.vaccine'!E19</f>
        <v>24447.21</v>
      </c>
      <c r="F19" s="201">
        <f>'1.1รวมยาทั้งหมด(1+2+3+4)'!F19+'5.vaccine'!F19</f>
        <v>38231.910000000003</v>
      </c>
      <c r="G19" s="201">
        <f>'1.1รวมยาทั้งหมด(1+2+3+4)'!G19+'5.vaccine'!G19</f>
        <v>23588.5</v>
      </c>
      <c r="H19" s="201">
        <f>'1.1รวมยาทั้งหมด(1+2+3+4)'!H19+'5.vaccine'!H19</f>
        <v>26102.719999999998</v>
      </c>
      <c r="I19" s="201">
        <f>'1.1รวมยาทั้งหมด(1+2+3+4)'!I19+'5.vaccine'!I19</f>
        <v>24985.85</v>
      </c>
      <c r="J19" s="201">
        <f>'1.1รวมยาทั้งหมด(1+2+3+4)'!J19+'5.vaccine'!J19</f>
        <v>16006.86</v>
      </c>
      <c r="K19" s="201">
        <f>'1.1รวมยาทั้งหมด(1+2+3+4)'!K19+'5.vaccine'!K19</f>
        <v>0</v>
      </c>
      <c r="L19" s="201">
        <f>'1.1รวมยาทั้งหมด(1+2+3+4)'!L19+'5.vaccine'!L19</f>
        <v>0</v>
      </c>
      <c r="M19" s="201">
        <f>'1.1รวมยาทั้งหมด(1+2+3+4)'!M19+'5.vaccine'!M19</f>
        <v>0</v>
      </c>
      <c r="N19" s="201">
        <f>'1.1รวมยาทั้งหมด(1+2+3+4)'!N19+'5.vaccine'!N19</f>
        <v>0</v>
      </c>
      <c r="O19" s="213">
        <f t="shared" si="1"/>
        <v>201199.40000000002</v>
      </c>
      <c r="P19" s="324">
        <f t="shared" si="0"/>
        <v>4.5812486765272185E-2</v>
      </c>
    </row>
    <row r="20" spans="1:16" ht="18" customHeight="1" x14ac:dyDescent="0.2">
      <c r="A20" s="25">
        <v>16</v>
      </c>
      <c r="B20" s="29" t="s">
        <v>13</v>
      </c>
      <c r="C20" s="200">
        <f>'1.1รวมยาทั้งหมด(1+2+3+4)'!C20+'5.vaccine'!C20</f>
        <v>3210.52</v>
      </c>
      <c r="D20" s="201">
        <f>'1.1รวมยาทั้งหมด(1+2+3+4)'!D20+'5.vaccine'!D20</f>
        <v>15016.26</v>
      </c>
      <c r="E20" s="201">
        <f>'1.1รวมยาทั้งหมด(1+2+3+4)'!E20+'5.vaccine'!E20</f>
        <v>18836.599999999999</v>
      </c>
      <c r="F20" s="201">
        <f>'1.1รวมยาทั้งหมด(1+2+3+4)'!F20+'5.vaccine'!F20</f>
        <v>14912.14</v>
      </c>
      <c r="G20" s="201">
        <f>'1.1รวมยาทั้งหมด(1+2+3+4)'!G20+'5.vaccine'!G20</f>
        <v>18228.46</v>
      </c>
      <c r="H20" s="201">
        <f>'1.1รวมยาทั้งหมด(1+2+3+4)'!H20+'5.vaccine'!H20</f>
        <v>19672.57</v>
      </c>
      <c r="I20" s="201">
        <f>'1.1รวมยาทั้งหมด(1+2+3+4)'!I20+'5.vaccine'!I20</f>
        <v>20300.43</v>
      </c>
      <c r="J20" s="201">
        <f>'1.1รวมยาทั้งหมด(1+2+3+4)'!J20+'5.vaccine'!J20</f>
        <v>20485.14</v>
      </c>
      <c r="K20" s="201">
        <f>'1.1รวมยาทั้งหมด(1+2+3+4)'!K20+'5.vaccine'!K20</f>
        <v>0</v>
      </c>
      <c r="L20" s="201">
        <f>'1.1รวมยาทั้งหมด(1+2+3+4)'!L20+'5.vaccine'!L20</f>
        <v>0</v>
      </c>
      <c r="M20" s="201">
        <f>'1.1รวมยาทั้งหมด(1+2+3+4)'!M20+'5.vaccine'!M20</f>
        <v>0</v>
      </c>
      <c r="N20" s="201">
        <f>'1.1รวมยาทั้งหมด(1+2+3+4)'!N20+'5.vaccine'!N20</f>
        <v>0</v>
      </c>
      <c r="O20" s="213">
        <f t="shared" si="1"/>
        <v>130662.11999999998</v>
      </c>
      <c r="P20" s="324">
        <f t="shared" si="0"/>
        <v>2.9751364284497889E-2</v>
      </c>
    </row>
    <row r="21" spans="1:16" ht="18" customHeight="1" x14ac:dyDescent="0.2">
      <c r="A21" s="25">
        <v>17</v>
      </c>
      <c r="B21" s="28" t="s">
        <v>14</v>
      </c>
      <c r="C21" s="200">
        <f>'1.1รวมยาทั้งหมด(1+2+3+4)'!C21+'5.vaccine'!C21</f>
        <v>20143.299999999996</v>
      </c>
      <c r="D21" s="201">
        <f>'1.1รวมยาทั้งหมด(1+2+3+4)'!D21+'5.vaccine'!D21</f>
        <v>40190.379999999997</v>
      </c>
      <c r="E21" s="201">
        <f>'1.1รวมยาทั้งหมด(1+2+3+4)'!E21+'5.vaccine'!E21</f>
        <v>21156.5</v>
      </c>
      <c r="F21" s="201">
        <f>'1.1รวมยาทั้งหมด(1+2+3+4)'!F21+'5.vaccine'!F21</f>
        <v>25309.07</v>
      </c>
      <c r="G21" s="201">
        <f>'1.1รวมยาทั้งหมด(1+2+3+4)'!G21+'5.vaccine'!G21</f>
        <v>26547</v>
      </c>
      <c r="H21" s="201">
        <f>'1.1รวมยาทั้งหมด(1+2+3+4)'!H21+'5.vaccine'!H21</f>
        <v>27855.670000000002</v>
      </c>
      <c r="I21" s="201">
        <f>'1.1รวมยาทั้งหมด(1+2+3+4)'!I21+'5.vaccine'!I21</f>
        <v>36442.47</v>
      </c>
      <c r="J21" s="201">
        <f>'1.1รวมยาทั้งหมด(1+2+3+4)'!J21+'5.vaccine'!J21</f>
        <v>24516.379999999997</v>
      </c>
      <c r="K21" s="201">
        <f>'1.1รวมยาทั้งหมด(1+2+3+4)'!K21+'5.vaccine'!K21</f>
        <v>0</v>
      </c>
      <c r="L21" s="201">
        <f>'1.1รวมยาทั้งหมด(1+2+3+4)'!L21+'5.vaccine'!L21</f>
        <v>0</v>
      </c>
      <c r="M21" s="201">
        <f>'1.1รวมยาทั้งหมด(1+2+3+4)'!M21+'5.vaccine'!M21</f>
        <v>0</v>
      </c>
      <c r="N21" s="201">
        <f>'1.1รวมยาทั้งหมด(1+2+3+4)'!N21+'5.vaccine'!N21</f>
        <v>0</v>
      </c>
      <c r="O21" s="213">
        <f t="shared" si="1"/>
        <v>222160.77000000002</v>
      </c>
      <c r="P21" s="324">
        <f t="shared" si="0"/>
        <v>5.0585326474073371E-2</v>
      </c>
    </row>
    <row r="22" spans="1:16" ht="18" customHeight="1" x14ac:dyDescent="0.2">
      <c r="A22" s="25">
        <v>18</v>
      </c>
      <c r="B22" s="28" t="s">
        <v>15</v>
      </c>
      <c r="C22" s="200">
        <f>'1.1รวมยาทั้งหมด(1+2+3+4)'!C22+'5.vaccine'!C22</f>
        <v>12319.92</v>
      </c>
      <c r="D22" s="201">
        <f>'1.1รวมยาทั้งหมด(1+2+3+4)'!D22+'5.vaccine'!D22</f>
        <v>29629.91</v>
      </c>
      <c r="E22" s="201">
        <f>'1.1รวมยาทั้งหมด(1+2+3+4)'!E22+'5.vaccine'!E22</f>
        <v>15523</v>
      </c>
      <c r="F22" s="201">
        <f>'1.1รวมยาทั้งหมด(1+2+3+4)'!F22+'5.vaccine'!F22</f>
        <v>6071.62</v>
      </c>
      <c r="G22" s="201">
        <f>'1.1รวมยาทั้งหมด(1+2+3+4)'!G22+'5.vaccine'!G22</f>
        <v>18473.740000000002</v>
      </c>
      <c r="H22" s="201">
        <f>'1.1รวมยาทั้งหมด(1+2+3+4)'!H22+'5.vaccine'!H22</f>
        <v>11525.15</v>
      </c>
      <c r="I22" s="201">
        <f>'1.1รวมยาทั้งหมด(1+2+3+4)'!I22+'5.vaccine'!I22</f>
        <v>19228.41</v>
      </c>
      <c r="J22" s="201">
        <f>'1.1รวมยาทั้งหมด(1+2+3+4)'!J22+'5.vaccine'!J22</f>
        <v>25368.560000000001</v>
      </c>
      <c r="K22" s="201">
        <f>'1.1รวมยาทั้งหมด(1+2+3+4)'!K22+'5.vaccine'!K22</f>
        <v>0</v>
      </c>
      <c r="L22" s="201">
        <f>'1.1รวมยาทั้งหมด(1+2+3+4)'!L22+'5.vaccine'!L22</f>
        <v>0</v>
      </c>
      <c r="M22" s="201">
        <f>'1.1รวมยาทั้งหมด(1+2+3+4)'!M22+'5.vaccine'!M22</f>
        <v>0</v>
      </c>
      <c r="N22" s="201">
        <f>'1.1รวมยาทั้งหมด(1+2+3+4)'!N22+'5.vaccine'!N22</f>
        <v>0</v>
      </c>
      <c r="O22" s="213">
        <f t="shared" si="1"/>
        <v>138140.31</v>
      </c>
      <c r="P22" s="324">
        <f t="shared" si="0"/>
        <v>3.1454125229128896E-2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2">
        <f>SUM(C5:C22)</f>
        <v>413752.45000000007</v>
      </c>
      <c r="D23" s="212">
        <f t="shared" ref="D23:O23" si="2">SUM(D5:D22)</f>
        <v>676853.85000000009</v>
      </c>
      <c r="E23" s="212">
        <f t="shared" si="2"/>
        <v>538613.54</v>
      </c>
      <c r="F23" s="212">
        <f t="shared" si="2"/>
        <v>607999.32299999986</v>
      </c>
      <c r="G23" s="212">
        <f t="shared" si="2"/>
        <v>535507.87</v>
      </c>
      <c r="H23" s="212">
        <f t="shared" si="2"/>
        <v>563730.59</v>
      </c>
      <c r="I23" s="212">
        <f t="shared" si="2"/>
        <v>583767.25000000012</v>
      </c>
      <c r="J23" s="212">
        <f t="shared" si="2"/>
        <v>471577.76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4391802.6329999994</v>
      </c>
      <c r="P23" s="325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0">
        <f>'1.1รวมยาทั้งหมด(1+2+3+4)'!C24+'5.vaccine'!C24</f>
        <v>42855.979999999996</v>
      </c>
      <c r="D24" s="200">
        <f>'1.1รวมยาทั้งหมด(1+2+3+4)'!D24+'5.vaccine'!D24</f>
        <v>37110.58</v>
      </c>
      <c r="E24" s="200">
        <f>'1.1รวมยาทั้งหมด(1+2+3+4)'!E24+'5.vaccine'!E24</f>
        <v>30764.09</v>
      </c>
      <c r="F24" s="200">
        <f>'1.1รวมยาทั้งหมด(1+2+3+4)'!F24+'5.vaccine'!F24</f>
        <v>50171.55</v>
      </c>
      <c r="G24" s="200">
        <f>'1.1รวมยาทั้งหมด(1+2+3+4)'!G24+'5.vaccine'!G24</f>
        <v>28892.089999999997</v>
      </c>
      <c r="H24" s="200">
        <f>'1.1รวมยาทั้งหมด(1+2+3+4)'!H24+'5.vaccine'!H24</f>
        <v>20475.560000000001</v>
      </c>
      <c r="I24" s="200">
        <f>'1.1รวมยาทั้งหมด(1+2+3+4)'!I24+'5.vaccine'!I24</f>
        <v>18046.38</v>
      </c>
      <c r="J24" s="200">
        <f>'1.1รวมยาทั้งหมด(1+2+3+4)'!J24+'5.vaccine'!J24</f>
        <v>30308.71</v>
      </c>
      <c r="K24" s="200">
        <f>'1.1รวมยาทั้งหมด(1+2+3+4)'!K24+'5.vaccine'!K24</f>
        <v>0</v>
      </c>
      <c r="L24" s="200">
        <f>'1.1รวมยาทั้งหมด(1+2+3+4)'!L24+'5.vaccine'!L24</f>
        <v>0</v>
      </c>
      <c r="M24" s="200">
        <f>'1.1รวมยาทั้งหมด(1+2+3+4)'!M24+'5.vaccine'!M24</f>
        <v>0</v>
      </c>
      <c r="N24" s="200">
        <f>'1.1รวมยาทั้งหมด(1+2+3+4)'!N24+'5.vaccine'!N24</f>
        <v>0</v>
      </c>
      <c r="O24" s="213">
        <f t="shared" ref="O24:O27" si="3">SUM(C24:N24)</f>
        <v>258624.94</v>
      </c>
      <c r="P24" s="324">
        <f t="shared" si="0"/>
        <v>5.8888106231526099E-2</v>
      </c>
    </row>
    <row r="25" spans="1:16" ht="18" customHeight="1" x14ac:dyDescent="0.2">
      <c r="A25" s="30">
        <v>20</v>
      </c>
      <c r="B25" s="28" t="s">
        <v>17</v>
      </c>
      <c r="C25" s="200">
        <f>'1.1รวมยาทั้งหมด(1+2+3+4)'!C25+'5.vaccine'!C25</f>
        <v>0</v>
      </c>
      <c r="D25" s="200">
        <f>'1.1รวมยาทั้งหมด(1+2+3+4)'!D25+'5.vaccine'!D25</f>
        <v>0</v>
      </c>
      <c r="E25" s="200">
        <f>'1.1รวมยาทั้งหมด(1+2+3+4)'!E25+'5.vaccine'!E25</f>
        <v>0</v>
      </c>
      <c r="F25" s="200">
        <f>'1.1รวมยาทั้งหมด(1+2+3+4)'!F25+'5.vaccine'!F25</f>
        <v>0</v>
      </c>
      <c r="G25" s="200">
        <f>'1.1รวมยาทั้งหมด(1+2+3+4)'!G25+'5.vaccine'!G25</f>
        <v>0</v>
      </c>
      <c r="H25" s="200">
        <f>'1.1รวมยาทั้งหมด(1+2+3+4)'!H25+'5.vaccine'!H25</f>
        <v>0</v>
      </c>
      <c r="I25" s="200">
        <f>'1.1รวมยาทั้งหมด(1+2+3+4)'!I25+'5.vaccine'!I25</f>
        <v>0</v>
      </c>
      <c r="J25" s="200">
        <f>'1.1รวมยาทั้งหมด(1+2+3+4)'!J25+'5.vaccine'!J25</f>
        <v>0</v>
      </c>
      <c r="K25" s="200">
        <f>'1.1รวมยาทั้งหมด(1+2+3+4)'!K25+'5.vaccine'!K25</f>
        <v>0</v>
      </c>
      <c r="L25" s="200">
        <f>'1.1รวมยาทั้งหมด(1+2+3+4)'!L25+'5.vaccine'!L25</f>
        <v>0</v>
      </c>
      <c r="M25" s="200">
        <f>'1.1รวมยาทั้งหมด(1+2+3+4)'!M25+'5.vaccine'!M25</f>
        <v>0</v>
      </c>
      <c r="N25" s="200">
        <f>'1.1รวมยาทั้งหมด(1+2+3+4)'!N25+'5.vaccine'!N25</f>
        <v>0</v>
      </c>
      <c r="O25" s="213">
        <f t="shared" si="3"/>
        <v>0</v>
      </c>
      <c r="P25" s="324">
        <f t="shared" si="0"/>
        <v>0</v>
      </c>
    </row>
    <row r="26" spans="1:16" s="48" customFormat="1" ht="18" customHeight="1" x14ac:dyDescent="0.2">
      <c r="A26" s="49" t="s">
        <v>69</v>
      </c>
      <c r="B26" s="50" t="s">
        <v>23</v>
      </c>
      <c r="C26" s="214">
        <f>SUM(C24:C25)</f>
        <v>42855.979999999996</v>
      </c>
      <c r="D26" s="214">
        <f t="shared" ref="D26:N26" si="4">SUM(D24:D25)</f>
        <v>37110.58</v>
      </c>
      <c r="E26" s="214">
        <f t="shared" si="4"/>
        <v>30764.09</v>
      </c>
      <c r="F26" s="214">
        <f t="shared" si="4"/>
        <v>50171.55</v>
      </c>
      <c r="G26" s="214">
        <f t="shared" si="4"/>
        <v>28892.089999999997</v>
      </c>
      <c r="H26" s="214">
        <f t="shared" si="4"/>
        <v>20475.560000000001</v>
      </c>
      <c r="I26" s="214">
        <f t="shared" si="4"/>
        <v>18046.38</v>
      </c>
      <c r="J26" s="214">
        <f t="shared" si="4"/>
        <v>30308.71</v>
      </c>
      <c r="K26" s="214">
        <f t="shared" si="4"/>
        <v>0</v>
      </c>
      <c r="L26" s="214">
        <f t="shared" si="4"/>
        <v>0</v>
      </c>
      <c r="M26" s="214">
        <f t="shared" si="4"/>
        <v>0</v>
      </c>
      <c r="N26" s="214">
        <f t="shared" si="4"/>
        <v>0</v>
      </c>
      <c r="O26" s="215">
        <f t="shared" si="3"/>
        <v>258624.94</v>
      </c>
      <c r="P26" s="326">
        <f t="shared" si="0"/>
        <v>5.8888106231526099E-2</v>
      </c>
    </row>
    <row r="27" spans="1:16" s="55" customFormat="1" ht="18" customHeight="1" x14ac:dyDescent="0.2">
      <c r="A27" s="202" t="s">
        <v>66</v>
      </c>
      <c r="B27" s="216" t="s">
        <v>25</v>
      </c>
      <c r="C27" s="217">
        <f>C23+C26</f>
        <v>456608.43000000005</v>
      </c>
      <c r="D27" s="217">
        <f t="shared" ref="D27:N27" si="5">D23+D26</f>
        <v>713964.43</v>
      </c>
      <c r="E27" s="217">
        <f t="shared" si="5"/>
        <v>569377.63</v>
      </c>
      <c r="F27" s="217">
        <f t="shared" si="5"/>
        <v>658170.87299999991</v>
      </c>
      <c r="G27" s="217">
        <f t="shared" si="5"/>
        <v>564399.96</v>
      </c>
      <c r="H27" s="217">
        <f t="shared" si="5"/>
        <v>584206.15</v>
      </c>
      <c r="I27" s="217">
        <f t="shared" si="5"/>
        <v>601813.63000000012</v>
      </c>
      <c r="J27" s="217">
        <f t="shared" si="5"/>
        <v>501886.47000000003</v>
      </c>
      <c r="K27" s="217">
        <f t="shared" si="5"/>
        <v>0</v>
      </c>
      <c r="L27" s="217">
        <f t="shared" si="5"/>
        <v>0</v>
      </c>
      <c r="M27" s="217">
        <f t="shared" si="5"/>
        <v>0</v>
      </c>
      <c r="N27" s="217">
        <f t="shared" si="5"/>
        <v>0</v>
      </c>
      <c r="O27" s="218">
        <f t="shared" si="3"/>
        <v>4650427.5729999999</v>
      </c>
      <c r="P27" s="327">
        <f t="shared" si="0"/>
        <v>1.0588881062315263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1" t="s">
        <v>72</v>
      </c>
      <c r="H30" s="361"/>
      <c r="I30" s="361"/>
      <c r="J30" s="3"/>
      <c r="K30" s="3"/>
      <c r="L30" s="361" t="s">
        <v>49</v>
      </c>
      <c r="M30" s="361"/>
      <c r="N30" s="361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31" sqref="B31"/>
    </sheetView>
  </sheetViews>
  <sheetFormatPr defaultRowHeight="17.25" customHeight="1" x14ac:dyDescent="0.45"/>
  <cols>
    <col min="1" max="1" width="6.625" style="62" customWidth="1"/>
    <col min="2" max="2" width="14.375" style="193" customWidth="1"/>
    <col min="3" max="14" width="8.5" style="61" customWidth="1"/>
    <col min="15" max="15" width="9.375" style="166" customWidth="1"/>
    <col min="16" max="16" width="11.625" style="316" customWidth="1"/>
    <col min="17" max="16384" width="9" style="61"/>
  </cols>
  <sheetData>
    <row r="1" spans="1:17" s="144" customFormat="1" ht="21" customHeight="1" x14ac:dyDescent="0.2">
      <c r="A1" s="138"/>
      <c r="B1" s="139"/>
      <c r="C1" s="161"/>
      <c r="D1" s="139" t="s">
        <v>44</v>
      </c>
      <c r="E1" s="161"/>
      <c r="F1" s="161"/>
      <c r="G1" s="161"/>
      <c r="H1" s="161"/>
      <c r="K1" s="139" t="str">
        <f>สรุปยอด!C3</f>
        <v xml:space="preserve"> ปีงบประมาณ   2562</v>
      </c>
      <c r="L1" s="161"/>
      <c r="M1" s="161"/>
      <c r="N1" s="161"/>
      <c r="O1" s="161"/>
      <c r="P1" s="315"/>
      <c r="Q1" s="143"/>
    </row>
    <row r="2" spans="1:17" s="144" customFormat="1" ht="21" customHeight="1" x14ac:dyDescent="0.2">
      <c r="A2" s="138"/>
      <c r="B2" s="139"/>
      <c r="C2" s="139" t="str">
        <f>'[1]1.1.ยา(ทั่วไป)'!C2</f>
        <v>จาก ฝ่ายเภสัชกรรมชุมชน  โรงพยาบาลกุมภวาปี</v>
      </c>
      <c r="D2" s="161"/>
      <c r="F2" s="161"/>
      <c r="G2" s="161"/>
      <c r="I2" s="161"/>
      <c r="J2" s="161"/>
      <c r="K2" s="161"/>
      <c r="M2" s="162"/>
      <c r="N2" s="163" t="str">
        <f>สรุปยอด!D4</f>
        <v>รายงานข้อมูลณ วันที่ 27/05/63</v>
      </c>
      <c r="O2" s="164"/>
      <c r="P2" s="315"/>
      <c r="Q2" s="143"/>
    </row>
    <row r="3" spans="1:17" s="206" customFormat="1" ht="5.25" customHeight="1" x14ac:dyDescent="0.45">
      <c r="A3" s="166"/>
      <c r="B3" s="219"/>
      <c r="O3" s="166"/>
      <c r="P3" s="320"/>
    </row>
    <row r="4" spans="1:17" s="206" customFormat="1" ht="43.5" customHeight="1" x14ac:dyDescent="0.45">
      <c r="A4" s="199" t="s">
        <v>0</v>
      </c>
      <c r="B4" s="220" t="s">
        <v>1</v>
      </c>
      <c r="C4" s="168" t="s">
        <v>27</v>
      </c>
      <c r="D4" s="168" t="s">
        <v>28</v>
      </c>
      <c r="E4" s="168" t="s">
        <v>29</v>
      </c>
      <c r="F4" s="168" t="s">
        <v>30</v>
      </c>
      <c r="G4" s="168" t="s">
        <v>31</v>
      </c>
      <c r="H4" s="168" t="s">
        <v>32</v>
      </c>
      <c r="I4" s="168" t="s">
        <v>33</v>
      </c>
      <c r="J4" s="168" t="s">
        <v>34</v>
      </c>
      <c r="K4" s="168" t="s">
        <v>35</v>
      </c>
      <c r="L4" s="168" t="s">
        <v>36</v>
      </c>
      <c r="M4" s="168" t="s">
        <v>37</v>
      </c>
      <c r="N4" s="168" t="s">
        <v>38</v>
      </c>
      <c r="O4" s="168" t="s">
        <v>39</v>
      </c>
      <c r="P4" s="321" t="s">
        <v>40</v>
      </c>
    </row>
    <row r="5" spans="1:17" ht="17.25" customHeight="1" x14ac:dyDescent="0.45">
      <c r="A5" s="25">
        <v>1</v>
      </c>
      <c r="B5" s="26" t="s">
        <v>18</v>
      </c>
      <c r="C5" s="183">
        <f>'1.1รวมยาทั้งหมด(1+2+3+4)'!C5+'2.รวมวชย ทุกประเภท'!C5</f>
        <v>68046.86</v>
      </c>
      <c r="D5" s="183">
        <f>'1.1รวมยาทั้งหมด(1+2+3+4)'!D5+'2.รวมวชย ทุกประเภท'!D5</f>
        <v>85315.39</v>
      </c>
      <c r="E5" s="183">
        <f>'1.1รวมยาทั้งหมด(1+2+3+4)'!E5+'2.รวมวชย ทุกประเภท'!E5</f>
        <v>82865.459999999992</v>
      </c>
      <c r="F5" s="183">
        <f>'1.1รวมยาทั้งหมด(1+2+3+4)'!F5+'2.รวมวชย ทุกประเภท'!F5</f>
        <v>67358.63</v>
      </c>
      <c r="G5" s="183">
        <f>'1.1รวมยาทั้งหมด(1+2+3+4)'!G5+'2.รวมวชย ทุกประเภท'!G5</f>
        <v>77354.880000000005</v>
      </c>
      <c r="H5" s="183">
        <f>'1.1รวมยาทั้งหมด(1+2+3+4)'!H5+'2.รวมวชย ทุกประเภท'!H5</f>
        <v>63313.68</v>
      </c>
      <c r="I5" s="183">
        <f>'1.1รวมยาทั้งหมด(1+2+3+4)'!I5+'2.รวมวชย ทุกประเภท'!I5</f>
        <v>93478.44</v>
      </c>
      <c r="J5" s="183">
        <f>'1.1รวมยาทั้งหมด(1+2+3+4)'!J5+'2.รวมวชย ทุกประเภท'!J5</f>
        <v>56839.520000000004</v>
      </c>
      <c r="K5" s="183">
        <f>'1.1รวมยาทั้งหมด(1+2+3+4)'!K5+'2.รวมวชย ทุกประเภท'!K5</f>
        <v>0</v>
      </c>
      <c r="L5" s="183">
        <f>'1.1รวมยาทั้งหมด(1+2+3+4)'!L5+'2.รวมวชย ทุกประเภท'!L5</f>
        <v>0</v>
      </c>
      <c r="M5" s="183">
        <f>'1.1รวมยาทั้งหมด(1+2+3+4)'!M5+'2.รวมวชย ทุกประเภท'!M5</f>
        <v>0</v>
      </c>
      <c r="N5" s="183">
        <f>'1.1รวมยาทั้งหมด(1+2+3+4)'!N5+'2.รวมวชย ทุกประเภท'!N5</f>
        <v>0</v>
      </c>
      <c r="O5" s="221">
        <f>SUM(C5:N5)</f>
        <v>594572.86</v>
      </c>
      <c r="P5" s="313">
        <f t="shared" ref="P5:P27" si="0">O5/$O$23</f>
        <v>0.17839808697873799</v>
      </c>
    </row>
    <row r="6" spans="1:17" ht="17.25" customHeight="1" x14ac:dyDescent="0.45">
      <c r="A6" s="25">
        <v>2</v>
      </c>
      <c r="B6" s="26" t="s">
        <v>19</v>
      </c>
      <c r="C6" s="183">
        <f>'1.1รวมยาทั้งหมด(1+2+3+4)'!C6+'2.รวมวชย ทุกประเภท'!C6</f>
        <v>37636.559999999998</v>
      </c>
      <c r="D6" s="183">
        <f>'1.1รวมยาทั้งหมด(1+2+3+4)'!D6+'2.รวมวชย ทุกประเภท'!D6</f>
        <v>49001.85</v>
      </c>
      <c r="E6" s="183">
        <f>'1.1รวมยาทั้งหมด(1+2+3+4)'!E6+'2.รวมวชย ทุกประเภท'!E6</f>
        <v>41573.300000000003</v>
      </c>
      <c r="F6" s="183">
        <f>'1.1รวมยาทั้งหมด(1+2+3+4)'!F6+'2.รวมวชย ทุกประเภท'!F6</f>
        <v>37519.39</v>
      </c>
      <c r="G6" s="183">
        <f>'1.1รวมยาทั้งหมด(1+2+3+4)'!G6+'2.รวมวชย ทุกประเภท'!G6</f>
        <v>45954.720000000001</v>
      </c>
      <c r="H6" s="183">
        <f>'1.1รวมยาทั้งหมด(1+2+3+4)'!H6+'2.รวมวชย ทุกประเภท'!H6</f>
        <v>70331.5</v>
      </c>
      <c r="I6" s="183">
        <f>'1.1รวมยาทั้งหมด(1+2+3+4)'!I6+'2.รวมวชย ทุกประเภท'!I6</f>
        <v>44634.5</v>
      </c>
      <c r="J6" s="183">
        <f>'1.1รวมยาทั้งหมด(1+2+3+4)'!J6+'2.รวมวชย ทุกประเภท'!J6</f>
        <v>30225.98</v>
      </c>
      <c r="K6" s="183">
        <f>'1.1รวมยาทั้งหมด(1+2+3+4)'!K6+'2.รวมวชย ทุกประเภท'!K6</f>
        <v>0</v>
      </c>
      <c r="L6" s="183">
        <f>'1.1รวมยาทั้งหมด(1+2+3+4)'!L6+'2.รวมวชย ทุกประเภท'!L6</f>
        <v>0</v>
      </c>
      <c r="M6" s="183">
        <f>'1.1รวมยาทั้งหมด(1+2+3+4)'!M6+'2.รวมวชย ทุกประเภท'!M6</f>
        <v>0</v>
      </c>
      <c r="N6" s="183">
        <f>'1.1รวมยาทั้งหมด(1+2+3+4)'!N6+'2.รวมวชย ทุกประเภท'!N6</f>
        <v>0</v>
      </c>
      <c r="O6" s="221">
        <f t="shared" ref="O6:O22" si="1">SUM(C6:N6)</f>
        <v>356877.8</v>
      </c>
      <c r="P6" s="313">
        <f t="shared" si="0"/>
        <v>0.10707908330222247</v>
      </c>
    </row>
    <row r="7" spans="1:17" ht="17.25" customHeight="1" x14ac:dyDescent="0.45">
      <c r="A7" s="25">
        <v>3</v>
      </c>
      <c r="B7" s="26" t="s">
        <v>20</v>
      </c>
      <c r="C7" s="183">
        <f>'1.1รวมยาทั้งหมด(1+2+3+4)'!C7+'2.รวมวชย ทุกประเภท'!C7</f>
        <v>14656.35</v>
      </c>
      <c r="D7" s="183">
        <f>'1.1รวมยาทั้งหมด(1+2+3+4)'!D7+'2.รวมวชย ทุกประเภท'!D7</f>
        <v>8607.119999999999</v>
      </c>
      <c r="E7" s="183">
        <f>'1.1รวมยาทั้งหมด(1+2+3+4)'!E7+'2.รวมวชย ทุกประเภท'!E7</f>
        <v>29024.55</v>
      </c>
      <c r="F7" s="183">
        <f>'1.1รวมยาทั้งหมด(1+2+3+4)'!F7+'2.รวมวชย ทุกประเภท'!F7</f>
        <v>24140.239999999998</v>
      </c>
      <c r="G7" s="183">
        <f>'1.1รวมยาทั้งหมด(1+2+3+4)'!G7+'2.รวมวชย ทุกประเภท'!G7</f>
        <v>19616.309999999998</v>
      </c>
      <c r="H7" s="183">
        <f>'1.1รวมยาทั้งหมด(1+2+3+4)'!H7+'2.รวมวชย ทุกประเภท'!H7</f>
        <v>2715.1</v>
      </c>
      <c r="I7" s="183">
        <f>'1.1รวมยาทั้งหมด(1+2+3+4)'!I7+'2.รวมวชย ทุกประเภท'!I7</f>
        <v>32313.4</v>
      </c>
      <c r="J7" s="183">
        <f>'1.1รวมยาทั้งหมด(1+2+3+4)'!J7+'2.รวมวชย ทุกประเภท'!J7</f>
        <v>14083.5</v>
      </c>
      <c r="K7" s="183">
        <f>'1.1รวมยาทั้งหมด(1+2+3+4)'!K7+'2.รวมวชย ทุกประเภท'!K7</f>
        <v>0</v>
      </c>
      <c r="L7" s="183">
        <f>'1.1รวมยาทั้งหมด(1+2+3+4)'!L7+'2.รวมวชย ทุกประเภท'!L7</f>
        <v>0</v>
      </c>
      <c r="M7" s="183">
        <f>'1.1รวมยาทั้งหมด(1+2+3+4)'!M7+'2.รวมวชย ทุกประเภท'!M7</f>
        <v>0</v>
      </c>
      <c r="N7" s="183">
        <f>'1.1รวมยาทั้งหมด(1+2+3+4)'!N7+'2.รวมวชย ทุกประเภท'!N7</f>
        <v>0</v>
      </c>
      <c r="O7" s="221">
        <f t="shared" si="1"/>
        <v>145156.57</v>
      </c>
      <c r="P7" s="313">
        <f t="shared" si="0"/>
        <v>4.355337443487628E-2</v>
      </c>
    </row>
    <row r="8" spans="1:17" ht="17.25" customHeight="1" x14ac:dyDescent="0.45">
      <c r="A8" s="25">
        <v>4</v>
      </c>
      <c r="B8" s="26" t="s">
        <v>21</v>
      </c>
      <c r="C8" s="183">
        <f>'1.1รวมยาทั้งหมด(1+2+3+4)'!C8+'2.รวมวชย ทุกประเภท'!C8</f>
        <v>12633.43</v>
      </c>
      <c r="D8" s="183">
        <f>'1.1รวมยาทั้งหมด(1+2+3+4)'!D8+'2.รวมวชย ทุกประเภท'!D8</f>
        <v>65062</v>
      </c>
      <c r="E8" s="183">
        <f>'1.1รวมยาทั้งหมด(1+2+3+4)'!E8+'2.รวมวชย ทุกประเภท'!E8</f>
        <v>46045.13</v>
      </c>
      <c r="F8" s="183">
        <f>'1.1รวมยาทั้งหมด(1+2+3+4)'!F8+'2.รวมวชย ทุกประเภท'!F8</f>
        <v>46352.25</v>
      </c>
      <c r="G8" s="183">
        <f>'1.1รวมยาทั้งหมด(1+2+3+4)'!G8+'2.รวมวชย ทุกประเภท'!G8</f>
        <v>13710.7</v>
      </c>
      <c r="H8" s="183">
        <f>'1.1รวมยาทั้งหมด(1+2+3+4)'!H8+'2.รวมวชย ทุกประเภท'!H8</f>
        <v>57551.520000000004</v>
      </c>
      <c r="I8" s="183">
        <f>'1.1รวมยาทั้งหมด(1+2+3+4)'!I8+'2.รวมวชย ทุกประเภท'!I8</f>
        <v>50620.74</v>
      </c>
      <c r="J8" s="183">
        <f>'1.1รวมยาทั้งหมด(1+2+3+4)'!J8+'2.รวมวชย ทุกประเภท'!J8</f>
        <v>27021.97</v>
      </c>
      <c r="K8" s="183">
        <f>'1.1รวมยาทั้งหมด(1+2+3+4)'!K8+'2.รวมวชย ทุกประเภท'!K8</f>
        <v>0</v>
      </c>
      <c r="L8" s="183">
        <f>'1.1รวมยาทั้งหมด(1+2+3+4)'!L8+'2.รวมวชย ทุกประเภท'!L8</f>
        <v>0</v>
      </c>
      <c r="M8" s="183">
        <f>'1.1รวมยาทั้งหมด(1+2+3+4)'!M8+'2.รวมวชย ทุกประเภท'!M8</f>
        <v>0</v>
      </c>
      <c r="N8" s="183">
        <f>'1.1รวมยาทั้งหมด(1+2+3+4)'!N8+'2.รวมวชย ทุกประเภท'!N8</f>
        <v>0</v>
      </c>
      <c r="O8" s="221">
        <f t="shared" si="1"/>
        <v>318997.74</v>
      </c>
      <c r="P8" s="313">
        <f t="shared" si="0"/>
        <v>9.5713394261791304E-2</v>
      </c>
    </row>
    <row r="9" spans="1:17" ht="17.25" customHeight="1" x14ac:dyDescent="0.45">
      <c r="A9" s="25">
        <v>5</v>
      </c>
      <c r="B9" s="26" t="s">
        <v>2</v>
      </c>
      <c r="C9" s="183">
        <f>'1.1รวมยาทั้งหมด(1+2+3+4)'!C9+'2.รวมวชย ทุกประเภท'!C9</f>
        <v>40436.75</v>
      </c>
      <c r="D9" s="183">
        <f>'1.1รวมยาทั้งหมด(1+2+3+4)'!D9+'2.รวมวชย ทุกประเภท'!D9</f>
        <v>11278</v>
      </c>
      <c r="E9" s="183">
        <f>'1.1รวมยาทั้งหมด(1+2+3+4)'!E9+'2.รวมวชย ทุกประเภท'!E9</f>
        <v>30651.85</v>
      </c>
      <c r="F9" s="183">
        <f>'1.1รวมยาทั้งหมด(1+2+3+4)'!F9+'2.รวมวชย ทุกประเภท'!F9</f>
        <v>23860.33</v>
      </c>
      <c r="G9" s="183">
        <f>'1.1รวมยาทั้งหมด(1+2+3+4)'!G9+'2.รวมวชย ทุกประเภท'!G9</f>
        <v>7938.16</v>
      </c>
      <c r="H9" s="183">
        <f>'1.1รวมยาทั้งหมด(1+2+3+4)'!H9+'2.รวมวชย ทุกประเภท'!H9</f>
        <v>18973.86</v>
      </c>
      <c r="I9" s="183">
        <f>'1.1รวมยาทั้งหมด(1+2+3+4)'!I9+'2.รวมวชย ทุกประเภท'!I9</f>
        <v>26804.77</v>
      </c>
      <c r="J9" s="183">
        <f>'1.1รวมยาทั้งหมด(1+2+3+4)'!J9+'2.รวมวชย ทุกประเภท'!J9</f>
        <v>23047.3</v>
      </c>
      <c r="K9" s="183">
        <f>'1.1รวมยาทั้งหมด(1+2+3+4)'!K9+'2.รวมวชย ทุกประเภท'!K9</f>
        <v>0</v>
      </c>
      <c r="L9" s="183">
        <f>'1.1รวมยาทั้งหมด(1+2+3+4)'!L9+'2.รวมวชย ทุกประเภท'!L9</f>
        <v>0</v>
      </c>
      <c r="M9" s="183">
        <f>'1.1รวมยาทั้งหมด(1+2+3+4)'!M9+'2.รวมวชย ทุกประเภท'!M9</f>
        <v>0</v>
      </c>
      <c r="N9" s="183">
        <f>'1.1รวมยาทั้งหมด(1+2+3+4)'!N9+'2.รวมวชย ทุกประเภท'!N9</f>
        <v>0</v>
      </c>
      <c r="O9" s="221">
        <f t="shared" si="1"/>
        <v>182991.02</v>
      </c>
      <c r="P9" s="313">
        <f t="shared" si="0"/>
        <v>5.4905378463268546E-2</v>
      </c>
    </row>
    <row r="10" spans="1:17" ht="17.25" customHeight="1" x14ac:dyDescent="0.45">
      <c r="A10" s="25">
        <v>6</v>
      </c>
      <c r="B10" s="26" t="s">
        <v>3</v>
      </c>
      <c r="C10" s="183">
        <f>'1.1รวมยาทั้งหมด(1+2+3+4)'!C10+'2.รวมวชย ทุกประเภท'!C10</f>
        <v>19348.830000000002</v>
      </c>
      <c r="D10" s="183">
        <f>'1.1รวมยาทั้งหมด(1+2+3+4)'!D10+'2.รวมวชย ทุกประเภท'!D10</f>
        <v>6681</v>
      </c>
      <c r="E10" s="183">
        <f>'1.1รวมยาทั้งหมด(1+2+3+4)'!E10+'2.รวมวชย ทุกประเภท'!E10</f>
        <v>19983.18</v>
      </c>
      <c r="F10" s="183">
        <f>'1.1รวมยาทั้งหมด(1+2+3+4)'!F10+'2.รวมวชย ทุกประเภท'!F10</f>
        <v>13837.78</v>
      </c>
      <c r="G10" s="183">
        <f>'1.1รวมยาทั้งหมด(1+2+3+4)'!G10+'2.รวมวชย ทุกประเภท'!G10</f>
        <v>17504.099999999999</v>
      </c>
      <c r="H10" s="183">
        <f>'1.1รวมยาทั้งหมด(1+2+3+4)'!H10+'2.รวมวชย ทุกประเภท'!H10</f>
        <v>19901.16</v>
      </c>
      <c r="I10" s="183">
        <f>'1.1รวมยาทั้งหมด(1+2+3+4)'!I10+'2.รวมวชย ทุกประเภท'!I10</f>
        <v>11370.900000000001</v>
      </c>
      <c r="J10" s="183">
        <f>'1.1รวมยาทั้งหมด(1+2+3+4)'!J10+'2.รวมวชย ทุกประเภท'!J10</f>
        <v>2215.44</v>
      </c>
      <c r="K10" s="183">
        <f>'1.1รวมยาทั้งหมด(1+2+3+4)'!K10+'2.รวมวชย ทุกประเภท'!K10</f>
        <v>0</v>
      </c>
      <c r="L10" s="183">
        <f>'1.1รวมยาทั้งหมด(1+2+3+4)'!L10+'2.รวมวชย ทุกประเภท'!L10</f>
        <v>0</v>
      </c>
      <c r="M10" s="183">
        <f>'1.1รวมยาทั้งหมด(1+2+3+4)'!M10+'2.รวมวชย ทุกประเภท'!M10</f>
        <v>0</v>
      </c>
      <c r="N10" s="183">
        <f>'1.1รวมยาทั้งหมด(1+2+3+4)'!N10+'2.รวมวชย ทุกประเภท'!N10</f>
        <v>0</v>
      </c>
      <c r="O10" s="221">
        <f t="shared" si="1"/>
        <v>110842.39000000001</v>
      </c>
      <c r="P10" s="313">
        <f t="shared" si="0"/>
        <v>3.3257606699625006E-2</v>
      </c>
    </row>
    <row r="11" spans="1:17" ht="17.25" customHeight="1" x14ac:dyDescent="0.45">
      <c r="A11" s="25">
        <v>7</v>
      </c>
      <c r="B11" s="26" t="s">
        <v>4</v>
      </c>
      <c r="C11" s="183">
        <f>'1.1รวมยาทั้งหมด(1+2+3+4)'!C11+'2.รวมวชย ทุกประเภท'!C11</f>
        <v>32394.3</v>
      </c>
      <c r="D11" s="183">
        <f>'1.1รวมยาทั้งหมด(1+2+3+4)'!D11+'2.รวมวชย ทุกประเภท'!D11</f>
        <v>12196.66</v>
      </c>
      <c r="E11" s="183">
        <f>'1.1รวมยาทั้งหมด(1+2+3+4)'!E11+'2.รวมวชย ทุกประเภท'!E11</f>
        <v>27844.98</v>
      </c>
      <c r="F11" s="183">
        <f>'1.1รวมยาทั้งหมด(1+2+3+4)'!F11+'2.รวมวชย ทุกประเภท'!F11</f>
        <v>46398.35</v>
      </c>
      <c r="G11" s="183">
        <f>'1.1รวมยาทั้งหมด(1+2+3+4)'!G11+'2.รวมวชย ทุกประเภท'!G11</f>
        <v>21531.19</v>
      </c>
      <c r="H11" s="183">
        <f>'1.1รวมยาทั้งหมด(1+2+3+4)'!H11+'2.รวมวชย ทุกประเภท'!H11</f>
        <v>9080.7999999999993</v>
      </c>
      <c r="I11" s="183">
        <f>'1.1รวมยาทั้งหมด(1+2+3+4)'!I11+'2.รวมวชย ทุกประเภท'!I11</f>
        <v>29257</v>
      </c>
      <c r="J11" s="183">
        <f>'1.1รวมยาทั้งหมด(1+2+3+4)'!J11+'2.รวมวชย ทุกประเภท'!J11</f>
        <v>15787.6</v>
      </c>
      <c r="K11" s="183">
        <f>'1.1รวมยาทั้งหมด(1+2+3+4)'!K11+'2.รวมวชย ทุกประเภท'!K11</f>
        <v>0</v>
      </c>
      <c r="L11" s="183">
        <f>'1.1รวมยาทั้งหมด(1+2+3+4)'!L11+'2.รวมวชย ทุกประเภท'!L11</f>
        <v>0</v>
      </c>
      <c r="M11" s="183">
        <f>'1.1รวมยาทั้งหมด(1+2+3+4)'!M11+'2.รวมวชย ทุกประเภท'!M11</f>
        <v>0</v>
      </c>
      <c r="N11" s="183">
        <f>'1.1รวมยาทั้งหมด(1+2+3+4)'!N11+'2.รวมวชย ทุกประเภท'!N11</f>
        <v>0</v>
      </c>
      <c r="O11" s="221">
        <f t="shared" si="1"/>
        <v>194490.88</v>
      </c>
      <c r="P11" s="313">
        <f t="shared" si="0"/>
        <v>5.8355843767929967E-2</v>
      </c>
    </row>
    <row r="12" spans="1:17" ht="17.25" customHeight="1" x14ac:dyDescent="0.45">
      <c r="A12" s="25">
        <v>8</v>
      </c>
      <c r="B12" s="26" t="s">
        <v>5</v>
      </c>
      <c r="C12" s="183">
        <f>'1.1รวมยาทั้งหมด(1+2+3+4)'!C12+'2.รวมวชย ทุกประเภท'!C12</f>
        <v>6538.2199999999993</v>
      </c>
      <c r="D12" s="183">
        <f>'1.1รวมยาทั้งหมด(1+2+3+4)'!D12+'2.รวมวชย ทุกประเภท'!D12</f>
        <v>46192</v>
      </c>
      <c r="E12" s="183">
        <f>'1.1รวมยาทั้งหมด(1+2+3+4)'!E12+'2.รวมวชย ทุกประเภท'!E12</f>
        <v>36051.32</v>
      </c>
      <c r="F12" s="183">
        <f>'1.1รวมยาทั้งหมด(1+2+3+4)'!F12+'2.รวมวชย ทุกประเภท'!F12</f>
        <v>18830.849999999999</v>
      </c>
      <c r="G12" s="183">
        <f>'1.1รวมยาทั้งหมด(1+2+3+4)'!G12+'2.รวมวชย ทุกประเภท'!G12</f>
        <v>29822.2</v>
      </c>
      <c r="H12" s="183">
        <f>'1.1รวมยาทั้งหมด(1+2+3+4)'!H12+'2.รวมวชย ทุกประเภท'!H12</f>
        <v>62355.89</v>
      </c>
      <c r="I12" s="183">
        <f>'1.1รวมยาทั้งหมด(1+2+3+4)'!I12+'2.รวมวชย ทุกประเภท'!I12</f>
        <v>16977.55</v>
      </c>
      <c r="J12" s="183">
        <f>'1.1รวมยาทั้งหมด(1+2+3+4)'!J12+'2.รวมวชย ทุกประเภท'!J12</f>
        <v>35061</v>
      </c>
      <c r="K12" s="183">
        <f>'1.1รวมยาทั้งหมด(1+2+3+4)'!K12+'2.รวมวชย ทุกประเภท'!K12</f>
        <v>0</v>
      </c>
      <c r="L12" s="183">
        <f>'1.1รวมยาทั้งหมด(1+2+3+4)'!L12+'2.รวมวชย ทุกประเภท'!L12</f>
        <v>0</v>
      </c>
      <c r="M12" s="183">
        <f>'1.1รวมยาทั้งหมด(1+2+3+4)'!M12+'2.รวมวชย ทุกประเภท'!M12</f>
        <v>0</v>
      </c>
      <c r="N12" s="183">
        <f>'1.1รวมยาทั้งหมด(1+2+3+4)'!N12+'2.รวมวชย ทุกประเภท'!N12</f>
        <v>0</v>
      </c>
      <c r="O12" s="221">
        <f t="shared" si="1"/>
        <v>251829.03000000003</v>
      </c>
      <c r="P12" s="313">
        <f t="shared" si="0"/>
        <v>7.5559818182268229E-2</v>
      </c>
    </row>
    <row r="13" spans="1:17" ht="17.25" customHeight="1" x14ac:dyDescent="0.45">
      <c r="A13" s="25">
        <v>9</v>
      </c>
      <c r="B13" s="26" t="s">
        <v>6</v>
      </c>
      <c r="C13" s="183">
        <f>'1.1รวมยาทั้งหมด(1+2+3+4)'!C13+'2.รวมวชย ทุกประเภท'!C13</f>
        <v>14973.64</v>
      </c>
      <c r="D13" s="183">
        <f>'1.1รวมยาทั้งหมด(1+2+3+4)'!D13+'2.รวมวชย ทุกประเภท'!D13</f>
        <v>4829.8100000000004</v>
      </c>
      <c r="E13" s="183">
        <f>'1.1รวมยาทั้งหมด(1+2+3+4)'!E13+'2.รวมวชย ทุกประเภท'!E13</f>
        <v>11912.8</v>
      </c>
      <c r="F13" s="183">
        <f>'1.1รวมยาทั้งหมด(1+2+3+4)'!F13+'2.รวมวชย ทุกประเภท'!F13</f>
        <v>19835.330000000002</v>
      </c>
      <c r="G13" s="183">
        <f>'1.1รวมยาทั้งหมด(1+2+3+4)'!G13+'2.รวมวชย ทุกประเภท'!G13</f>
        <v>24320.52</v>
      </c>
      <c r="H13" s="183">
        <f>'1.1รวมยาทั้งหมด(1+2+3+4)'!H13+'2.รวมวชย ทุกประเภท'!H13</f>
        <v>7929.1299999999992</v>
      </c>
      <c r="I13" s="183">
        <f>'1.1รวมยาทั้งหมด(1+2+3+4)'!I13+'2.รวมวชย ทุกประเภท'!I13</f>
        <v>25409.46</v>
      </c>
      <c r="J13" s="183">
        <f>'1.1รวมยาทั้งหมด(1+2+3+4)'!J13+'2.รวมวชย ทุกประเภท'!J13</f>
        <v>8186.92</v>
      </c>
      <c r="K13" s="183">
        <f>'1.1รวมยาทั้งหมด(1+2+3+4)'!K13+'2.รวมวชย ทุกประเภท'!K13</f>
        <v>0</v>
      </c>
      <c r="L13" s="183">
        <f>'1.1รวมยาทั้งหมด(1+2+3+4)'!L13+'2.รวมวชย ทุกประเภท'!L13</f>
        <v>0</v>
      </c>
      <c r="M13" s="183">
        <f>'1.1รวมยาทั้งหมด(1+2+3+4)'!M13+'2.รวมวชย ทุกประเภท'!M13</f>
        <v>0</v>
      </c>
      <c r="N13" s="183">
        <f>'1.1รวมยาทั้งหมด(1+2+3+4)'!N13+'2.รวมวชย ทุกประเภท'!N13</f>
        <v>0</v>
      </c>
      <c r="O13" s="221">
        <f t="shared" si="1"/>
        <v>117397.61</v>
      </c>
      <c r="P13" s="313">
        <f t="shared" si="0"/>
        <v>3.5224461876507386E-2</v>
      </c>
    </row>
    <row r="14" spans="1:17" ht="17.25" customHeight="1" x14ac:dyDescent="0.45">
      <c r="A14" s="25">
        <v>10</v>
      </c>
      <c r="B14" s="26" t="s">
        <v>7</v>
      </c>
      <c r="C14" s="183">
        <f>'1.1รวมยาทั้งหมด(1+2+3+4)'!C14+'2.รวมวชย ทุกประเภท'!C14</f>
        <v>3855</v>
      </c>
      <c r="D14" s="183">
        <f>'1.1รวมยาทั้งหมด(1+2+3+4)'!D14+'2.รวมวชย ทุกประเภท'!D14</f>
        <v>6398</v>
      </c>
      <c r="E14" s="183">
        <f>'1.1รวมยาทั้งหมด(1+2+3+4)'!E14+'2.รวมวชย ทุกประเภท'!E14</f>
        <v>6617</v>
      </c>
      <c r="F14" s="183">
        <f>'1.1รวมยาทั้งหมด(1+2+3+4)'!F14+'2.รวมวชย ทุกประเภท'!F14</f>
        <v>14876.75</v>
      </c>
      <c r="G14" s="183">
        <f>'1.1รวมยาทั้งหมด(1+2+3+4)'!G14+'2.รวมวชย ทุกประเภท'!G14</f>
        <v>9959.4</v>
      </c>
      <c r="H14" s="183">
        <f>'1.1รวมยาทั้งหมด(1+2+3+4)'!H14+'2.รวมวชย ทุกประเภท'!H14</f>
        <v>27285.559999999998</v>
      </c>
      <c r="I14" s="183">
        <f>'1.1รวมยาทั้งหมด(1+2+3+4)'!I14+'2.รวมวชย ทุกประเภท'!I14</f>
        <v>0</v>
      </c>
      <c r="J14" s="183">
        <f>'1.1รวมยาทั้งหมด(1+2+3+4)'!J14+'2.รวมวชย ทุกประเภท'!J14</f>
        <v>15251.560000000001</v>
      </c>
      <c r="K14" s="183">
        <f>'1.1รวมยาทั้งหมด(1+2+3+4)'!K14+'2.รวมวชย ทุกประเภท'!K14</f>
        <v>0</v>
      </c>
      <c r="L14" s="183">
        <f>'1.1รวมยาทั้งหมด(1+2+3+4)'!L14+'2.รวมวชย ทุกประเภท'!L14</f>
        <v>0</v>
      </c>
      <c r="M14" s="183">
        <f>'1.1รวมยาทั้งหมด(1+2+3+4)'!M14+'2.รวมวชย ทุกประเภท'!M14</f>
        <v>0</v>
      </c>
      <c r="N14" s="183">
        <f>'1.1รวมยาทั้งหมด(1+2+3+4)'!N14+'2.รวมวชย ทุกประเภท'!N14</f>
        <v>0</v>
      </c>
      <c r="O14" s="221">
        <f t="shared" si="1"/>
        <v>84243.26999999999</v>
      </c>
      <c r="P14" s="313">
        <f t="shared" si="0"/>
        <v>2.5276697306421465E-2</v>
      </c>
    </row>
    <row r="15" spans="1:17" ht="17.25" customHeight="1" x14ac:dyDescent="0.45">
      <c r="A15" s="25">
        <v>11</v>
      </c>
      <c r="B15" s="26" t="s">
        <v>8</v>
      </c>
      <c r="C15" s="183">
        <f>'1.1รวมยาทั้งหมด(1+2+3+4)'!C15+'2.รวมวชย ทุกประเภท'!C15</f>
        <v>30361.32</v>
      </c>
      <c r="D15" s="183">
        <f>'1.1รวมยาทั้งหมด(1+2+3+4)'!D15+'2.รวมวชย ทุกประเภท'!D15</f>
        <v>23038.16</v>
      </c>
      <c r="E15" s="183">
        <f>'1.1รวมยาทั้งหมด(1+2+3+4)'!E15+'2.รวมวชย ทุกประเภท'!E15</f>
        <v>17270.12</v>
      </c>
      <c r="F15" s="183">
        <f>'1.1รวมยาทั้งหมด(1+2+3+4)'!F15+'2.รวมวชย ทุกประเภท'!F15</f>
        <v>30088.55</v>
      </c>
      <c r="G15" s="183">
        <f>'1.1รวมยาทั้งหมด(1+2+3+4)'!G15+'2.รวมวชย ทุกประเภท'!G15</f>
        <v>23678.59</v>
      </c>
      <c r="H15" s="183">
        <f>'1.1รวมยาทั้งหมด(1+2+3+4)'!H15+'2.รวมวชย ทุกประเภท'!H15</f>
        <v>47686.42</v>
      </c>
      <c r="I15" s="183">
        <f>'1.1รวมยาทั้งหมด(1+2+3+4)'!I15+'2.รวมวชย ทุกประเภท'!I15</f>
        <v>5550</v>
      </c>
      <c r="J15" s="183">
        <f>'1.1รวมยาทั้งหมด(1+2+3+4)'!J15+'2.รวมวชย ทุกประเภท'!J15</f>
        <v>9622</v>
      </c>
      <c r="K15" s="183">
        <f>'1.1รวมยาทั้งหมด(1+2+3+4)'!K15+'2.รวมวชย ทุกประเภท'!K15</f>
        <v>0</v>
      </c>
      <c r="L15" s="183">
        <f>'1.1รวมยาทั้งหมด(1+2+3+4)'!L15+'2.รวมวชย ทุกประเภท'!L15</f>
        <v>0</v>
      </c>
      <c r="M15" s="183">
        <f>'1.1รวมยาทั้งหมด(1+2+3+4)'!M15+'2.รวมวชย ทุกประเภท'!M15</f>
        <v>0</v>
      </c>
      <c r="N15" s="183">
        <f>'1.1รวมยาทั้งหมด(1+2+3+4)'!N15+'2.รวมวชย ทุกประเภท'!N15</f>
        <v>0</v>
      </c>
      <c r="O15" s="221">
        <f t="shared" si="1"/>
        <v>187295.15999999997</v>
      </c>
      <c r="P15" s="313">
        <f t="shared" si="0"/>
        <v>5.6196810336039633E-2</v>
      </c>
    </row>
    <row r="16" spans="1:17" ht="17.25" customHeight="1" x14ac:dyDescent="0.45">
      <c r="A16" s="25">
        <v>12</v>
      </c>
      <c r="B16" s="26" t="s">
        <v>9</v>
      </c>
      <c r="C16" s="183">
        <f>'1.1รวมยาทั้งหมด(1+2+3+4)'!C16+'2.รวมวชย ทุกประเภท'!C16</f>
        <v>5463.99</v>
      </c>
      <c r="D16" s="183">
        <f>'1.1รวมยาทั้งหมด(1+2+3+4)'!D16+'2.รวมวชย ทุกประเภท'!D16</f>
        <v>11213.29</v>
      </c>
      <c r="E16" s="183">
        <f>'1.1รวมยาทั้งหมด(1+2+3+4)'!E16+'2.รวมวชย ทุกประเภท'!E16</f>
        <v>11784.380000000001</v>
      </c>
      <c r="F16" s="183">
        <f>'1.1รวมยาทั้งหมด(1+2+3+4)'!F16+'2.รวมวชย ทุกประเภท'!F16</f>
        <v>11328.73</v>
      </c>
      <c r="G16" s="183">
        <f>'1.1รวมยาทั้งหมด(1+2+3+4)'!G16+'2.รวมวชย ทุกประเภท'!G16</f>
        <v>13462.910000000002</v>
      </c>
      <c r="H16" s="183">
        <f>'1.1รวมยาทั้งหมด(1+2+3+4)'!H16+'2.รวมวชย ทุกประเภท'!H16</f>
        <v>14288.67</v>
      </c>
      <c r="I16" s="183">
        <f>'1.1รวมยาทั้งหมด(1+2+3+4)'!I16+'2.รวมวชย ทุกประเภท'!I16</f>
        <v>15842.42</v>
      </c>
      <c r="J16" s="183">
        <f>'1.1รวมยาทั้งหมด(1+2+3+4)'!J16+'2.รวมวชย ทุกประเภท'!J16</f>
        <v>13221.23</v>
      </c>
      <c r="K16" s="183">
        <f>'1.1รวมยาทั้งหมด(1+2+3+4)'!K16+'2.รวมวชย ทุกประเภท'!K16</f>
        <v>0</v>
      </c>
      <c r="L16" s="183">
        <f>'1.1รวมยาทั้งหมด(1+2+3+4)'!L16+'2.รวมวชย ทุกประเภท'!L16</f>
        <v>0</v>
      </c>
      <c r="M16" s="183">
        <f>'1.1รวมยาทั้งหมด(1+2+3+4)'!M16+'2.รวมวชย ทุกประเภท'!M16</f>
        <v>0</v>
      </c>
      <c r="N16" s="183">
        <f>'1.1รวมยาทั้งหมด(1+2+3+4)'!N16+'2.รวมวชย ทุกประเภท'!N16</f>
        <v>0</v>
      </c>
      <c r="O16" s="221">
        <f t="shared" si="1"/>
        <v>96605.62</v>
      </c>
      <c r="P16" s="313">
        <f t="shared" si="0"/>
        <v>2.8985947658954549E-2</v>
      </c>
    </row>
    <row r="17" spans="1:16" ht="17.25" customHeight="1" x14ac:dyDescent="0.45">
      <c r="A17" s="25">
        <v>13</v>
      </c>
      <c r="B17" s="26" t="s">
        <v>10</v>
      </c>
      <c r="C17" s="183">
        <f>'1.1รวมยาทั้งหมด(1+2+3+4)'!C17+'2.รวมวชย ทุกประเภท'!C17</f>
        <v>13195.79</v>
      </c>
      <c r="D17" s="183">
        <f>'1.1รวมยาทั้งหมด(1+2+3+4)'!D17+'2.รวมวชย ทุกประเภท'!D17</f>
        <v>8465</v>
      </c>
      <c r="E17" s="183">
        <f>'1.1รวมยาทั้งหมด(1+2+3+4)'!E17+'2.รวมวชย ทุกประเภท'!E17</f>
        <v>15226</v>
      </c>
      <c r="F17" s="183">
        <f>'1.1รวมยาทั้งหมด(1+2+3+4)'!F17+'2.รวมวชย ทุกประเภท'!F17</f>
        <v>10076.76</v>
      </c>
      <c r="G17" s="183">
        <f>'1.1รวมยาทั้งหมด(1+2+3+4)'!G17+'2.รวมวชย ทุกประเภท'!G17</f>
        <v>18053.22</v>
      </c>
      <c r="H17" s="183">
        <f>'1.1รวมยาทั้งหมด(1+2+3+4)'!H17+'2.รวมวชย ทุกประเภท'!H17</f>
        <v>0</v>
      </c>
      <c r="I17" s="183">
        <f>'1.1รวมยาทั้งหมด(1+2+3+4)'!I17+'2.รวมวชย ทุกประเภท'!I17</f>
        <v>33992.300000000003</v>
      </c>
      <c r="J17" s="183">
        <f>'1.1รวมยาทั้งหมด(1+2+3+4)'!J17+'2.รวมวชย ทุกประเภท'!J17</f>
        <v>23545.61</v>
      </c>
      <c r="K17" s="183">
        <f>'1.1รวมยาทั้งหมด(1+2+3+4)'!K17+'2.รวมวชย ทุกประเภท'!K17</f>
        <v>0</v>
      </c>
      <c r="L17" s="183">
        <f>'1.1รวมยาทั้งหมด(1+2+3+4)'!L17+'2.รวมวชย ทุกประเภท'!L17</f>
        <v>0</v>
      </c>
      <c r="M17" s="183">
        <f>'1.1รวมยาทั้งหมด(1+2+3+4)'!M17+'2.รวมวชย ทุกประเภท'!M17</f>
        <v>0</v>
      </c>
      <c r="N17" s="183">
        <f>'1.1รวมยาทั้งหมด(1+2+3+4)'!N17+'2.รวมวชย ทุกประเภท'!N17</f>
        <v>0</v>
      </c>
      <c r="O17" s="221">
        <f t="shared" si="1"/>
        <v>122554.68000000001</v>
      </c>
      <c r="P17" s="313">
        <f t="shared" si="0"/>
        <v>3.677181037542044E-2</v>
      </c>
    </row>
    <row r="18" spans="1:16" ht="17.25" customHeight="1" x14ac:dyDescent="0.45">
      <c r="A18" s="25">
        <v>14</v>
      </c>
      <c r="B18" s="26" t="s">
        <v>11</v>
      </c>
      <c r="C18" s="183">
        <f>'1.1รวมยาทั้งหมด(1+2+3+4)'!C18+'2.รวมวชย ทุกประเภท'!C18</f>
        <v>2996.92</v>
      </c>
      <c r="D18" s="183">
        <f>'1.1รวมยาทั้งหมด(1+2+3+4)'!D18+'2.รวมวชย ทุกประเภท'!D18</f>
        <v>5124.78</v>
      </c>
      <c r="E18" s="183">
        <f>'1.1รวมยาทั้งหมด(1+2+3+4)'!E18+'2.รวมวชย ทุกประเภท'!E18</f>
        <v>16166.35</v>
      </c>
      <c r="F18" s="183">
        <f>'1.1รวมยาทั้งหมด(1+2+3+4)'!F18+'2.รวมวชย ทุกประเภท'!F18</f>
        <v>4216.6499999999996</v>
      </c>
      <c r="G18" s="183">
        <f>'1.1รวมยาทั้งหมด(1+2+3+4)'!G18+'2.รวมวชย ทุกประเภท'!G18</f>
        <v>10557.1</v>
      </c>
      <c r="H18" s="183">
        <f>'1.1รวมยาทั้งหมด(1+2+3+4)'!H18+'2.รวมวชย ทุกประเภท'!H18</f>
        <v>0</v>
      </c>
      <c r="I18" s="183">
        <f>'1.1รวมยาทั้งหมด(1+2+3+4)'!I18+'2.รวมวชย ทุกประเภท'!I18</f>
        <v>9899</v>
      </c>
      <c r="J18" s="183">
        <f>'1.1รวมยาทั้งหมด(1+2+3+4)'!J18+'2.รวมวชย ทุกประเภท'!J18</f>
        <v>6361.28</v>
      </c>
      <c r="K18" s="183">
        <f>'1.1รวมยาทั้งหมด(1+2+3+4)'!K18+'2.รวมวชย ทุกประเภท'!K18</f>
        <v>0</v>
      </c>
      <c r="L18" s="183">
        <f>'1.1รวมยาทั้งหมด(1+2+3+4)'!L18+'2.รวมวชย ทุกประเภท'!L18</f>
        <v>0</v>
      </c>
      <c r="M18" s="183">
        <f>'1.1รวมยาทั้งหมด(1+2+3+4)'!M18+'2.รวมวชย ทุกประเภท'!M18</f>
        <v>0</v>
      </c>
      <c r="N18" s="183">
        <f>'1.1รวมยาทั้งหมด(1+2+3+4)'!N18+'2.รวมวชย ทุกประเภท'!N18</f>
        <v>0</v>
      </c>
      <c r="O18" s="221">
        <f t="shared" si="1"/>
        <v>55322.079999999994</v>
      </c>
      <c r="P18" s="313">
        <f t="shared" si="0"/>
        <v>1.6599064477454791E-2</v>
      </c>
    </row>
    <row r="19" spans="1:16" ht="17.25" customHeight="1" x14ac:dyDescent="0.45">
      <c r="A19" s="25">
        <v>15</v>
      </c>
      <c r="B19" s="26" t="s">
        <v>12</v>
      </c>
      <c r="C19" s="183">
        <f>'1.1รวมยาทั้งหมด(1+2+3+4)'!C19+'2.รวมวชย ทุกประเภท'!C19</f>
        <v>12441.12</v>
      </c>
      <c r="D19" s="183">
        <f>'1.1รวมยาทั้งหมด(1+2+3+4)'!D19+'2.รวมวชย ทุกประเภท'!D19</f>
        <v>17728.82</v>
      </c>
      <c r="E19" s="183">
        <f>'1.1รวมยาทั้งหมด(1+2+3+4)'!E19+'2.รวมวชย ทุกประเภท'!E19</f>
        <v>17978.34</v>
      </c>
      <c r="F19" s="183">
        <f>'1.1รวมยาทั้งหมด(1+2+3+4)'!F19+'2.รวมวชย ทุกประเภท'!F19</f>
        <v>26976.959999999999</v>
      </c>
      <c r="G19" s="183">
        <f>'1.1รวมยาทั้งหมด(1+2+3+4)'!G19+'2.รวมวชย ทุกประเภท'!G19</f>
        <v>15443.88</v>
      </c>
      <c r="H19" s="183">
        <f>'1.1รวมยาทั้งหมด(1+2+3+4)'!H19+'2.รวมวชย ทุกประเภท'!H19</f>
        <v>21249.809999999998</v>
      </c>
      <c r="I19" s="183">
        <f>'1.1รวมยาทั้งหมด(1+2+3+4)'!I19+'2.รวมวชย ทุกประเภท'!I19</f>
        <v>18748.349999999999</v>
      </c>
      <c r="J19" s="183">
        <f>'1.1รวมยาทั้งหมด(1+2+3+4)'!J19+'2.รวมวชย ทุกประเภท'!J19</f>
        <v>14183.050000000001</v>
      </c>
      <c r="K19" s="183">
        <f>'1.1รวมยาทั้งหมด(1+2+3+4)'!K19+'2.รวมวชย ทุกประเภท'!K19</f>
        <v>0</v>
      </c>
      <c r="L19" s="183">
        <f>'1.1รวมยาทั้งหมด(1+2+3+4)'!L19+'2.รวมวชย ทุกประเภท'!L19</f>
        <v>0</v>
      </c>
      <c r="M19" s="183">
        <f>'1.1รวมยาทั้งหมด(1+2+3+4)'!M19+'2.รวมวชย ทุกประเภท'!M19</f>
        <v>0</v>
      </c>
      <c r="N19" s="183">
        <f>'1.1รวมยาทั้งหมด(1+2+3+4)'!N19+'2.รวมวชย ทุกประเภท'!N19</f>
        <v>0</v>
      </c>
      <c r="O19" s="221">
        <f t="shared" si="1"/>
        <v>144750.32999999999</v>
      </c>
      <c r="P19" s="313">
        <f t="shared" si="0"/>
        <v>4.343148451401066E-2</v>
      </c>
    </row>
    <row r="20" spans="1:16" ht="17.25" customHeight="1" x14ac:dyDescent="0.45">
      <c r="A20" s="25">
        <v>16</v>
      </c>
      <c r="B20" s="128" t="s">
        <v>13</v>
      </c>
      <c r="C20" s="183">
        <f>'1.1รวมยาทั้งหมด(1+2+3+4)'!C20+'2.รวมวชย ทุกประเภท'!C20</f>
        <v>0</v>
      </c>
      <c r="D20" s="183">
        <f>'1.1รวมยาทั้งหมด(1+2+3+4)'!D20+'2.รวมวชย ทุกประเภท'!D20</f>
        <v>14468.26</v>
      </c>
      <c r="E20" s="183">
        <f>'1.1รวมยาทั้งหมด(1+2+3+4)'!E20+'2.รวมวชย ทุกประเภท'!E20</f>
        <v>16194.1</v>
      </c>
      <c r="F20" s="183">
        <f>'1.1รวมยาทั้งหมด(1+2+3+4)'!F20+'2.รวมวชย ทุกประเภท'!F20</f>
        <v>14912.14</v>
      </c>
      <c r="G20" s="183">
        <f>'1.1รวมยาทั้งหมด(1+2+3+4)'!G20+'2.รวมวชย ทุกประเภท'!G20</f>
        <v>13735.76</v>
      </c>
      <c r="H20" s="183">
        <f>'1.1รวมยาทั้งหมด(1+2+3+4)'!H20+'2.รวมวชย ทุกประเภท'!H20</f>
        <v>15726.59</v>
      </c>
      <c r="I20" s="183">
        <f>'1.1รวมยาทั้งหมด(1+2+3+4)'!I20+'2.รวมวชย ทุกประเภท'!I20</f>
        <v>18124.189999999999</v>
      </c>
      <c r="J20" s="183">
        <f>'1.1รวมยาทั้งหมด(1+2+3+4)'!J20+'2.รวมวชย ทุกประเภท'!J20</f>
        <v>15547.16</v>
      </c>
      <c r="K20" s="183">
        <f>'1.1รวมยาทั้งหมด(1+2+3+4)'!K20+'2.รวมวชย ทุกประเภท'!K20</f>
        <v>0</v>
      </c>
      <c r="L20" s="183">
        <f>'1.1รวมยาทั้งหมด(1+2+3+4)'!L20+'2.รวมวชย ทุกประเภท'!L20</f>
        <v>0</v>
      </c>
      <c r="M20" s="183">
        <f>'1.1รวมยาทั้งหมด(1+2+3+4)'!M20+'2.รวมวชย ทุกประเภท'!M20</f>
        <v>0</v>
      </c>
      <c r="N20" s="183">
        <f>'1.1รวมยาทั้งหมด(1+2+3+4)'!N20+'2.รวมวชย ทุกประเภท'!N20</f>
        <v>0</v>
      </c>
      <c r="O20" s="221">
        <f t="shared" si="1"/>
        <v>108708.20000000001</v>
      </c>
      <c r="P20" s="313">
        <f t="shared" si="0"/>
        <v>3.2617255551997529E-2</v>
      </c>
    </row>
    <row r="21" spans="1:16" ht="17.25" customHeight="1" x14ac:dyDescent="0.45">
      <c r="A21" s="25">
        <v>17</v>
      </c>
      <c r="B21" s="26" t="s">
        <v>14</v>
      </c>
      <c r="C21" s="183">
        <f>'1.1รวมยาทั้งหมด(1+2+3+4)'!C21+'2.รวมวชย ทุกประเภท'!C21</f>
        <v>16972.809999999998</v>
      </c>
      <c r="D21" s="183">
        <f>'1.1รวมยาทั้งหมด(1+2+3+4)'!D21+'2.รวมวชย ทุกประเภท'!D21</f>
        <v>18337.12</v>
      </c>
      <c r="E21" s="183">
        <f>'1.1รวมยาทั้งหมด(1+2+3+4)'!E21+'2.รวมวชย ทุกประเภท'!E21</f>
        <v>15810.06</v>
      </c>
      <c r="F21" s="183">
        <f>'1.1รวมยาทั้งหมด(1+2+3+4)'!F21+'2.รวมวชย ทุกประเภท'!F21</f>
        <v>19528.91</v>
      </c>
      <c r="G21" s="183">
        <f>'1.1รวมยาทั้งหมด(1+2+3+4)'!G21+'2.รวมวชย ทุกประเภท'!G21</f>
        <v>17727.32</v>
      </c>
      <c r="H21" s="183">
        <f>'1.1รวมยาทั้งหมด(1+2+3+4)'!H21+'2.รวมวชย ทุกประเภท'!H21</f>
        <v>24201.010000000002</v>
      </c>
      <c r="I21" s="183">
        <f>'1.1รวมยาทั้งหมด(1+2+3+4)'!I21+'2.รวมวชย ทุกประเภท'!I21</f>
        <v>31076.07</v>
      </c>
      <c r="J21" s="183">
        <f>'1.1รวมยาทั้งหมด(1+2+3+4)'!J21+'2.รวมวชย ทุกประเภท'!J21</f>
        <v>12834.46</v>
      </c>
      <c r="K21" s="183">
        <f>'1.1รวมยาทั้งหมด(1+2+3+4)'!K21+'2.รวมวชย ทุกประเภท'!K21</f>
        <v>0</v>
      </c>
      <c r="L21" s="183">
        <f>'1.1รวมยาทั้งหมด(1+2+3+4)'!L21+'2.รวมวชย ทุกประเภท'!L21</f>
        <v>0</v>
      </c>
      <c r="M21" s="183">
        <f>'1.1รวมยาทั้งหมด(1+2+3+4)'!M21+'2.รวมวชย ทุกประเภท'!M21</f>
        <v>0</v>
      </c>
      <c r="N21" s="183">
        <f>'1.1รวมยาทั้งหมด(1+2+3+4)'!N21+'2.รวมวชย ทุกประเภท'!N21</f>
        <v>0</v>
      </c>
      <c r="O21" s="221">
        <f t="shared" si="1"/>
        <v>156487.76</v>
      </c>
      <c r="P21" s="313">
        <f t="shared" si="0"/>
        <v>4.69532312988317E-2</v>
      </c>
    </row>
    <row r="22" spans="1:16" ht="17.25" customHeight="1" x14ac:dyDescent="0.45">
      <c r="A22" s="25">
        <v>18</v>
      </c>
      <c r="B22" s="26" t="s">
        <v>15</v>
      </c>
      <c r="C22" s="183">
        <f>'1.1รวมยาทั้งหมด(1+2+3+4)'!C22+'2.รวมวชย ทุกประเภท'!C22</f>
        <v>7507.46</v>
      </c>
      <c r="D22" s="183">
        <f>'1.1รวมยาทั้งหมด(1+2+3+4)'!D22+'2.รวมวชย ทุกประเภท'!D22</f>
        <v>22914.03</v>
      </c>
      <c r="E22" s="183">
        <f>'1.1รวมยาทั้งหมด(1+2+3+4)'!E22+'2.รวมวชย ทุกประเภท'!E22</f>
        <v>11800.92</v>
      </c>
      <c r="F22" s="183">
        <f>'1.1รวมยาทั้งหมด(1+2+3+4)'!F22+'2.รวมวชย ทุกประเภท'!F22</f>
        <v>6071.62</v>
      </c>
      <c r="G22" s="183">
        <f>'1.1รวมยาทั้งหมด(1+2+3+4)'!G22+'2.รวมวชย ทุกประเภท'!G22</f>
        <v>14397.54</v>
      </c>
      <c r="H22" s="183">
        <f>'1.1รวมยาทั้งหมด(1+2+3+4)'!H22+'2.รวมวชย ทุกประเภท'!H22</f>
        <v>5761.21</v>
      </c>
      <c r="I22" s="183">
        <f>'1.1รวมยาทั้งหมด(1+2+3+4)'!I22+'2.รวมวชย ทุกประเภท'!I22</f>
        <v>17144.14</v>
      </c>
      <c r="J22" s="183">
        <f>'1.1รวมยาทั้งหมด(1+2+3+4)'!J22+'2.รวมวชย ทุกประเภท'!J22</f>
        <v>18123.330000000002</v>
      </c>
      <c r="K22" s="183">
        <f>'1.1รวมยาทั้งหมด(1+2+3+4)'!K22+'2.รวมวชย ทุกประเภท'!K22</f>
        <v>0</v>
      </c>
      <c r="L22" s="183">
        <f>'1.1รวมยาทั้งหมด(1+2+3+4)'!L22+'2.รวมวชย ทุกประเภท'!L22</f>
        <v>0</v>
      </c>
      <c r="M22" s="183">
        <f>'1.1รวมยาทั้งหมด(1+2+3+4)'!M22+'2.รวมวชย ทุกประเภท'!M22</f>
        <v>0</v>
      </c>
      <c r="N22" s="183">
        <f>'1.1รวมยาทั้งหมด(1+2+3+4)'!N22+'2.รวมวชย ทุกประเภท'!N22</f>
        <v>0</v>
      </c>
      <c r="O22" s="221">
        <f t="shared" si="1"/>
        <v>103720.25</v>
      </c>
      <c r="P22" s="313">
        <f t="shared" si="0"/>
        <v>3.1120650513641761E-2</v>
      </c>
    </row>
    <row r="23" spans="1:16" s="170" customFormat="1" ht="17.25" customHeight="1" x14ac:dyDescent="0.45">
      <c r="A23" s="45">
        <v>5.4166666666666669E-2</v>
      </c>
      <c r="B23" s="153" t="s">
        <v>22</v>
      </c>
      <c r="C23" s="188">
        <f>SUM(C5:C22)</f>
        <v>339459.35</v>
      </c>
      <c r="D23" s="188">
        <f t="shared" ref="D23:O23" si="2">SUM(D5:D22)</f>
        <v>416851.29000000004</v>
      </c>
      <c r="E23" s="188">
        <f t="shared" si="2"/>
        <v>454799.83999999997</v>
      </c>
      <c r="F23" s="188">
        <f t="shared" si="2"/>
        <v>436210.22000000003</v>
      </c>
      <c r="G23" s="188">
        <f t="shared" si="2"/>
        <v>394768.5</v>
      </c>
      <c r="H23" s="188">
        <f t="shared" si="2"/>
        <v>468351.91</v>
      </c>
      <c r="I23" s="188">
        <f t="shared" si="2"/>
        <v>481243.23</v>
      </c>
      <c r="J23" s="188">
        <f t="shared" si="2"/>
        <v>341158.91000000003</v>
      </c>
      <c r="K23" s="188">
        <f t="shared" si="2"/>
        <v>0</v>
      </c>
      <c r="L23" s="188">
        <f t="shared" si="2"/>
        <v>0</v>
      </c>
      <c r="M23" s="188">
        <f t="shared" si="2"/>
        <v>0</v>
      </c>
      <c r="N23" s="188">
        <f t="shared" si="2"/>
        <v>0</v>
      </c>
      <c r="O23" s="188">
        <f t="shared" si="2"/>
        <v>3332843.2500000009</v>
      </c>
      <c r="P23" s="314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21">
        <f t="shared" ref="O24:O26" si="3">SUM(C24:N24)</f>
        <v>0</v>
      </c>
      <c r="P24" s="313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21">
        <f t="shared" si="3"/>
        <v>0</v>
      </c>
      <c r="P25" s="313">
        <f t="shared" si="0"/>
        <v>0</v>
      </c>
    </row>
    <row r="26" spans="1:16" s="170" customFormat="1" ht="17.25" customHeight="1" x14ac:dyDescent="0.45">
      <c r="A26" s="49" t="s">
        <v>54</v>
      </c>
      <c r="B26" s="151" t="s">
        <v>23</v>
      </c>
      <c r="C26" s="191">
        <f>SUM(C24:C25)</f>
        <v>0</v>
      </c>
      <c r="D26" s="191">
        <f t="shared" ref="D26:N26" si="4">SUM(D24:D25)</f>
        <v>0</v>
      </c>
      <c r="E26" s="191">
        <f t="shared" si="4"/>
        <v>0</v>
      </c>
      <c r="F26" s="191">
        <f t="shared" si="4"/>
        <v>0</v>
      </c>
      <c r="G26" s="191">
        <f t="shared" si="4"/>
        <v>0</v>
      </c>
      <c r="H26" s="191">
        <f t="shared" si="4"/>
        <v>0</v>
      </c>
      <c r="I26" s="191">
        <f t="shared" si="4"/>
        <v>0</v>
      </c>
      <c r="J26" s="191">
        <f t="shared" si="4"/>
        <v>0</v>
      </c>
      <c r="K26" s="191">
        <f t="shared" si="4"/>
        <v>0</v>
      </c>
      <c r="L26" s="191">
        <f t="shared" si="4"/>
        <v>0</v>
      </c>
      <c r="M26" s="191">
        <f t="shared" si="4"/>
        <v>0</v>
      </c>
      <c r="N26" s="191">
        <f t="shared" si="4"/>
        <v>0</v>
      </c>
      <c r="O26" s="304">
        <f t="shared" si="3"/>
        <v>0</v>
      </c>
      <c r="P26" s="318">
        <f t="shared" si="0"/>
        <v>0</v>
      </c>
    </row>
    <row r="27" spans="1:16" s="206" customFormat="1" ht="17.25" customHeight="1" x14ac:dyDescent="0.45">
      <c r="A27" s="202" t="s">
        <v>66</v>
      </c>
      <c r="B27" s="207" t="s">
        <v>25</v>
      </c>
      <c r="C27" s="205">
        <f>C23+C26</f>
        <v>339459.35</v>
      </c>
      <c r="D27" s="205">
        <f t="shared" ref="D27:N27" si="5">D23+D26</f>
        <v>416851.29000000004</v>
      </c>
      <c r="E27" s="205">
        <f t="shared" si="5"/>
        <v>454799.83999999997</v>
      </c>
      <c r="F27" s="205">
        <f t="shared" si="5"/>
        <v>436210.22000000003</v>
      </c>
      <c r="G27" s="205">
        <f t="shared" si="5"/>
        <v>394768.5</v>
      </c>
      <c r="H27" s="205">
        <f t="shared" si="5"/>
        <v>468351.91</v>
      </c>
      <c r="I27" s="205">
        <f t="shared" si="5"/>
        <v>481243.23</v>
      </c>
      <c r="J27" s="205">
        <f t="shared" si="5"/>
        <v>341158.91000000003</v>
      </c>
      <c r="K27" s="205">
        <f t="shared" si="5"/>
        <v>0</v>
      </c>
      <c r="L27" s="205">
        <f t="shared" si="5"/>
        <v>0</v>
      </c>
      <c r="M27" s="205">
        <f t="shared" si="5"/>
        <v>0</v>
      </c>
      <c r="N27" s="205">
        <f t="shared" si="5"/>
        <v>0</v>
      </c>
      <c r="O27" s="205">
        <f>SUM(C27:N27)</f>
        <v>3332843.25</v>
      </c>
      <c r="P27" s="319">
        <f t="shared" si="0"/>
        <v>0.99999999999999967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User</cp:lastModifiedBy>
  <cp:lastPrinted>2020-05-27T03:53:18Z</cp:lastPrinted>
  <dcterms:created xsi:type="dcterms:W3CDTF">2017-10-13T14:25:05Z</dcterms:created>
  <dcterms:modified xsi:type="dcterms:W3CDTF">2020-05-27T03:56:24Z</dcterms:modified>
</cp:coreProperties>
</file>