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firstSheet="1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E23" i="9" l="1"/>
  <c r="E23" i="11"/>
  <c r="E23" i="8"/>
  <c r="E23" i="7"/>
  <c r="E23" i="6"/>
  <c r="E27" i="4"/>
  <c r="E23" i="4"/>
  <c r="E27" i="2"/>
  <c r="E23" i="2"/>
  <c r="E8" i="7" l="1"/>
  <c r="E6" i="6"/>
  <c r="E5" i="6"/>
  <c r="E24" i="11"/>
  <c r="E24" i="7"/>
  <c r="E21" i="7"/>
  <c r="E18" i="7"/>
  <c r="E18" i="11"/>
  <c r="E15" i="7"/>
  <c r="E14" i="7"/>
  <c r="E12" i="7"/>
  <c r="E12" i="2"/>
  <c r="E11" i="2"/>
  <c r="E11" i="7"/>
  <c r="E11" i="9"/>
  <c r="E11" i="11"/>
  <c r="E10" i="7"/>
  <c r="E9" i="7"/>
  <c r="E8" i="11"/>
  <c r="E7" i="7"/>
  <c r="E6" i="7"/>
  <c r="E5" i="11"/>
  <c r="E5" i="8"/>
  <c r="E5" i="7"/>
  <c r="E24" i="4" l="1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7" i="4"/>
  <c r="E6" i="4"/>
  <c r="E5" i="4"/>
  <c r="E24" i="2"/>
  <c r="E22" i="2"/>
  <c r="E21" i="2"/>
  <c r="E20" i="2"/>
  <c r="E16" i="2"/>
  <c r="E13" i="2"/>
  <c r="E10" i="2"/>
  <c r="E9" i="2"/>
  <c r="E8" i="2"/>
  <c r="E7" i="2"/>
  <c r="E6" i="2"/>
  <c r="E5" i="2"/>
  <c r="D27" i="4" l="1"/>
  <c r="D23" i="4"/>
  <c r="D27" i="2"/>
  <c r="D23" i="2"/>
  <c r="D23" i="9"/>
  <c r="D23" i="11"/>
  <c r="D23" i="8"/>
  <c r="D23" i="7"/>
  <c r="D8" i="7"/>
  <c r="D23" i="6"/>
  <c r="D19" i="6" l="1"/>
  <c r="D15" i="6"/>
  <c r="D14" i="6"/>
  <c r="D13" i="6"/>
  <c r="D8" i="6"/>
  <c r="D6" i="6"/>
  <c r="D22" i="7"/>
  <c r="D21" i="7"/>
  <c r="D20" i="7"/>
  <c r="D19" i="7"/>
  <c r="D19" i="12"/>
  <c r="D18" i="7"/>
  <c r="D17" i="11"/>
  <c r="D16" i="7"/>
  <c r="D16" i="11"/>
  <c r="D15" i="7"/>
  <c r="D12" i="11"/>
  <c r="D12" i="7"/>
  <c r="D9" i="7"/>
  <c r="D6" i="7"/>
  <c r="D5" i="7"/>
  <c r="D24" i="2"/>
  <c r="D24" i="4"/>
  <c r="D22" i="4"/>
  <c r="D20" i="4"/>
  <c r="D19" i="4"/>
  <c r="D16" i="4"/>
  <c r="D15" i="4"/>
  <c r="D13" i="4"/>
  <c r="D12" i="4"/>
  <c r="D8" i="4"/>
  <c r="D6" i="4"/>
  <c r="D5" i="4"/>
  <c r="D22" i="2"/>
  <c r="D21" i="2"/>
  <c r="D19" i="2"/>
  <c r="D18" i="2"/>
  <c r="D17" i="2"/>
  <c r="D16" i="2"/>
  <c r="D15" i="2"/>
  <c r="D13" i="2"/>
  <c r="D12" i="2"/>
  <c r="D11" i="2"/>
  <c r="D10" i="2"/>
  <c r="D9" i="2"/>
  <c r="D8" i="2"/>
  <c r="D6" i="2"/>
  <c r="D5" i="2"/>
  <c r="C23" i="10" l="1"/>
  <c r="C23" i="9"/>
  <c r="C23" i="11"/>
  <c r="C23" i="8"/>
  <c r="C23" i="7"/>
  <c r="C23" i="6"/>
  <c r="C27" i="4"/>
  <c r="C23" i="4"/>
  <c r="C27" i="2"/>
  <c r="C23" i="2"/>
  <c r="C22" i="9" l="1"/>
  <c r="C22" i="6"/>
  <c r="C24" i="7" l="1"/>
  <c r="C21" i="7"/>
  <c r="C18" i="7"/>
  <c r="C17" i="11"/>
  <c r="C17" i="7"/>
  <c r="C16" i="11"/>
  <c r="C16" i="7"/>
  <c r="C15" i="11"/>
  <c r="C15" i="7"/>
  <c r="C14" i="7"/>
  <c r="C13" i="7"/>
  <c r="C11" i="11"/>
  <c r="C11" i="7"/>
  <c r="C9" i="9"/>
  <c r="C9" i="11"/>
  <c r="C9" i="7"/>
  <c r="C8" i="7"/>
  <c r="C7" i="11"/>
  <c r="C6" i="7"/>
  <c r="C7" i="7"/>
  <c r="C5" i="7"/>
  <c r="C24" i="4"/>
  <c r="C21" i="4"/>
  <c r="C19" i="4"/>
  <c r="C16" i="4"/>
  <c r="C15" i="4"/>
  <c r="C11" i="4"/>
  <c r="C10" i="4"/>
  <c r="C9" i="2"/>
  <c r="C9" i="4"/>
  <c r="C7" i="4"/>
  <c r="C6" i="4"/>
  <c r="C5" i="4"/>
  <c r="C24" i="2"/>
  <c r="C21" i="2"/>
  <c r="C17" i="2"/>
  <c r="C15" i="2"/>
  <c r="C11" i="2"/>
  <c r="C10" i="2"/>
  <c r="C8" i="2"/>
  <c r="C7" i="2"/>
  <c r="C6" i="2"/>
  <c r="C5" i="2"/>
  <c r="M26" i="9" l="1"/>
  <c r="M27" i="9" s="1"/>
  <c r="C26" i="11"/>
  <c r="D26" i="8"/>
  <c r="D27" i="8" s="1"/>
  <c r="E26" i="8"/>
  <c r="E27" i="8" s="1"/>
  <c r="F26" i="8"/>
  <c r="F27" i="8" s="1"/>
  <c r="G26" i="8"/>
  <c r="G27" i="8" s="1"/>
  <c r="H26" i="8"/>
  <c r="H27" i="8" s="1"/>
  <c r="I26" i="8"/>
  <c r="I27" i="8" s="1"/>
  <c r="J26" i="8"/>
  <c r="J27" i="8" s="1"/>
  <c r="K26" i="8"/>
  <c r="K27" i="8" s="1"/>
  <c r="L26" i="8"/>
  <c r="L27" i="8" s="1"/>
  <c r="M26" i="8"/>
  <c r="M27" i="8" s="1"/>
  <c r="N26" i="8"/>
  <c r="C26" i="8"/>
  <c r="C27" i="8" s="1"/>
  <c r="N26" i="7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/>
  <c r="J27" i="7" s="1"/>
  <c r="K26" i="7"/>
  <c r="K27" i="7" s="1"/>
  <c r="L26" i="7"/>
  <c r="L27" i="7" s="1"/>
  <c r="M26" i="7"/>
  <c r="M27" i="7" s="1"/>
  <c r="C26" i="7"/>
  <c r="D26" i="16"/>
  <c r="E26" i="16"/>
  <c r="F26" i="16"/>
  <c r="G26" i="16"/>
  <c r="H26" i="16"/>
  <c r="I26" i="16"/>
  <c r="J26" i="16"/>
  <c r="K26" i="16"/>
  <c r="L26" i="16"/>
  <c r="M26" i="16"/>
  <c r="N26" i="16"/>
  <c r="C26" i="16"/>
  <c r="D26" i="6"/>
  <c r="D27" i="6" s="1"/>
  <c r="E26" i="6"/>
  <c r="E27" i="6" s="1"/>
  <c r="F26" i="6"/>
  <c r="F27" i="6" s="1"/>
  <c r="G26" i="6"/>
  <c r="G27" i="6" s="1"/>
  <c r="H26" i="6"/>
  <c r="H27" i="6" s="1"/>
  <c r="I26" i="6"/>
  <c r="I27" i="6" s="1"/>
  <c r="J26" i="6"/>
  <c r="J27" i="6" s="1"/>
  <c r="K26" i="6"/>
  <c r="K27" i="6" s="1"/>
  <c r="L26" i="6"/>
  <c r="L27" i="6" s="1"/>
  <c r="M26" i="6"/>
  <c r="M27" i="6" s="1"/>
  <c r="N26" i="6"/>
  <c r="C26" i="6"/>
  <c r="C27" i="6" s="1"/>
  <c r="D26" i="12"/>
  <c r="E26" i="12"/>
  <c r="F26" i="12"/>
  <c r="G26" i="12"/>
  <c r="H26" i="12"/>
  <c r="I26" i="12"/>
  <c r="J26" i="12"/>
  <c r="K26" i="12"/>
  <c r="L26" i="12"/>
  <c r="M26" i="12"/>
  <c r="N26" i="12"/>
  <c r="C26" i="12"/>
  <c r="D23" i="12"/>
  <c r="D27" i="12" s="1"/>
  <c r="E23" i="12"/>
  <c r="E27" i="12" s="1"/>
  <c r="F23" i="12"/>
  <c r="F27" i="12" s="1"/>
  <c r="G23" i="12"/>
  <c r="G27" i="12" s="1"/>
  <c r="H23" i="12"/>
  <c r="H27" i="12" s="1"/>
  <c r="I23" i="12"/>
  <c r="I27" i="12" s="1"/>
  <c r="J23" i="12"/>
  <c r="J27" i="12" s="1"/>
  <c r="K23" i="12"/>
  <c r="K27" i="12" s="1"/>
  <c r="L23" i="12"/>
  <c r="L27" i="12" s="1"/>
  <c r="M23" i="12"/>
  <c r="M27" i="12" s="1"/>
  <c r="N23" i="12"/>
  <c r="N27" i="12" s="1"/>
  <c r="C23" i="12"/>
  <c r="C27" i="12" s="1"/>
  <c r="D26" i="10"/>
  <c r="E26" i="10"/>
  <c r="F26" i="10"/>
  <c r="G26" i="10"/>
  <c r="H26" i="10"/>
  <c r="I26" i="10"/>
  <c r="J26" i="10"/>
  <c r="K26" i="10"/>
  <c r="L26" i="10"/>
  <c r="M26" i="10"/>
  <c r="N26" i="10"/>
  <c r="C26" i="10"/>
  <c r="D27" i="10"/>
  <c r="E27" i="10"/>
  <c r="F27" i="10"/>
  <c r="G27" i="10"/>
  <c r="H27" i="10"/>
  <c r="I27" i="10"/>
  <c r="J27" i="10"/>
  <c r="K27" i="10"/>
  <c r="L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M27" i="10"/>
  <c r="N27" i="10"/>
  <c r="D26" i="9"/>
  <c r="D27" i="9" s="1"/>
  <c r="E26" i="9"/>
  <c r="E27" i="9" s="1"/>
  <c r="F26" i="9"/>
  <c r="F27" i="9" s="1"/>
  <c r="G26" i="9"/>
  <c r="G27" i="9" s="1"/>
  <c r="H26" i="9"/>
  <c r="H27" i="9" s="1"/>
  <c r="I26" i="9"/>
  <c r="I27" i="9" s="1"/>
  <c r="J26" i="9"/>
  <c r="J27" i="9" s="1"/>
  <c r="K26" i="9"/>
  <c r="K27" i="9" s="1"/>
  <c r="L26" i="9"/>
  <c r="L27" i="9" s="1"/>
  <c r="N26" i="9"/>
  <c r="C26" i="9"/>
  <c r="C27" i="9" s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N27" i="9"/>
  <c r="D26" i="11"/>
  <c r="D27" i="11" s="1"/>
  <c r="E26" i="11"/>
  <c r="E27" i="11" s="1"/>
  <c r="F26" i="11"/>
  <c r="G26" i="11"/>
  <c r="H26" i="11"/>
  <c r="I26" i="11"/>
  <c r="J26" i="11"/>
  <c r="K26" i="11"/>
  <c r="L26" i="11"/>
  <c r="M26" i="11"/>
  <c r="M27" i="11" s="1"/>
  <c r="N26" i="11"/>
  <c r="F27" i="11"/>
  <c r="G27" i="11"/>
  <c r="H27" i="11"/>
  <c r="I27" i="11"/>
  <c r="J27" i="11"/>
  <c r="K27" i="11"/>
  <c r="L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N27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O23" i="7"/>
  <c r="N27" i="6"/>
  <c r="O5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O26" i="7" l="1"/>
  <c r="O26" i="10"/>
  <c r="O27" i="8"/>
  <c r="C27" i="7"/>
  <c r="N27" i="11"/>
  <c r="O23" i="11"/>
  <c r="N27" i="7"/>
  <c r="O27" i="7" s="1"/>
  <c r="O27" i="4"/>
  <c r="O23" i="2"/>
  <c r="O26" i="12"/>
  <c r="O27" i="10"/>
  <c r="O23" i="10"/>
  <c r="O27" i="11"/>
  <c r="O27" i="12"/>
  <c r="O5" i="12"/>
  <c r="O23" i="12" s="1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I23" i="13" s="1"/>
  <c r="I27" i="13" s="1"/>
  <c r="J5" i="13"/>
  <c r="J23" i="13" s="1"/>
  <c r="K5" i="13"/>
  <c r="K23" i="13" s="1"/>
  <c r="L5" i="13"/>
  <c r="L23" i="13" s="1"/>
  <c r="M5" i="13"/>
  <c r="M23" i="13" s="1"/>
  <c r="M27" i="13" s="1"/>
  <c r="N5" i="13"/>
  <c r="K24" i="14" l="1"/>
  <c r="K26" i="14" s="1"/>
  <c r="K26" i="13"/>
  <c r="K27" i="13"/>
  <c r="L24" i="14"/>
  <c r="L26" i="14" s="1"/>
  <c r="L26" i="13"/>
  <c r="L27" i="13" s="1"/>
  <c r="J24" i="14"/>
  <c r="J26" i="13"/>
  <c r="J27" i="13" s="1"/>
  <c r="N24" i="14"/>
  <c r="N26" i="13"/>
  <c r="N23" i="13"/>
  <c r="N27" i="13" s="1"/>
  <c r="N25" i="14"/>
  <c r="M24" i="14"/>
  <c r="M26" i="14" s="1"/>
  <c r="J25" i="14"/>
  <c r="I24" i="14"/>
  <c r="I26" i="14" s="1"/>
  <c r="J26" i="14" l="1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O25" i="11"/>
  <c r="O24" i="11"/>
  <c r="C2" i="11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O23" i="6" l="1"/>
  <c r="O27" i="6" s="1"/>
  <c r="C23" i="13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7" i="14" s="1"/>
  <c r="H23" i="13"/>
  <c r="H27" i="13" s="1"/>
  <c r="F23" i="13"/>
  <c r="F27" i="13" s="1"/>
  <c r="D23" i="13"/>
  <c r="D27" i="13" s="1"/>
  <c r="G24" i="14"/>
  <c r="G26" i="14" s="1"/>
  <c r="G26" i="13"/>
  <c r="E24" i="14"/>
  <c r="E26" i="14" s="1"/>
  <c r="O26" i="14" s="1"/>
  <c r="E26" i="13"/>
  <c r="N23" i="14"/>
  <c r="N27" i="14" s="1"/>
  <c r="O25" i="14"/>
  <c r="O25" i="13"/>
  <c r="O26" i="2"/>
  <c r="O26" i="8"/>
  <c r="O26" i="11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23" i="16" s="1"/>
  <c r="H27" i="16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L23" i="16" s="1"/>
  <c r="L27" i="16" s="1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O26" i="6"/>
  <c r="D22" i="14"/>
  <c r="D22" i="16"/>
  <c r="D21" i="14"/>
  <c r="D21" i="16"/>
  <c r="D20" i="14"/>
  <c r="D20" i="16"/>
  <c r="D19" i="14"/>
  <c r="D19" i="16"/>
  <c r="D18" i="14"/>
  <c r="D18" i="16"/>
  <c r="D17" i="14"/>
  <c r="O17" i="14" s="1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P26" i="8"/>
  <c r="P23" i="6"/>
  <c r="O27" i="5"/>
  <c r="O23" i="4"/>
  <c r="P5" i="4" s="1"/>
  <c r="P12" i="3"/>
  <c r="P21" i="3"/>
  <c r="P19" i="3"/>
  <c r="P24" i="3"/>
  <c r="P23" i="3"/>
  <c r="O21" i="14" l="1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<sst xmlns="http://schemas.openxmlformats.org/spreadsheetml/2006/main" count="734" uniqueCount="86">
  <si>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</si>
  <si>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</si>
  <si>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</si>
  <si>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</si>
  <si>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</si>
  <si>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</si>
  <si>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</si>
  <si>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</si>
  <si>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</si>
  <si>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</si>
  <si>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</si>
  <si>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</si>
  <si>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</si>
  <si>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</si>
  <si>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</si>
  <si>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</si>
  <si>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</si>
  <si>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</si>
  <si>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</si>
  <si>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</si>
  <si>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</si>
  <si>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</si>
  <si>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</si>
  <si>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</si>
  <si>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</si>
  <si>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</si>
  <si>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</si>
  <si>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</si>
  <si>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</si>
  <si>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</si>
  <si>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</si>
  <si>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</si>
  <si>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</si>
  <si>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</si>
  <si>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</si>
  <si>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</si>
  <si>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</si>
  <si>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</si>
  <si>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</si>
  <si>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</si>
  <si>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</si>
  <si>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</si>
  <si>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</si>
  <si>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</si>
  <si>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</si>
  <si>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</si>
  <si>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</si>
  <si>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</si>
  <si>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</si>
  <si>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</si>
  <si>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</si>
  <si>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</si>
  <si>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</si>
  <si>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</si>
  <si>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</si>
  <si>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</si>
  <si>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</si>
  <si>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</si>
  <si>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</si>
  <si>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</si>
  <si>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</si>
  <si>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</si>
  <si>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</si>
  <si>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</si>
  <si>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</si>
  <si>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</si>
  <si>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</si>
  <si>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</si>
  <si>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</si>
  <si>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</si>
  <si>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</si>
  <si>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</si>
  <si>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</si>
  <si>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</si>
  <si>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</si>
  <si>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</si>
  <si>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</si>
  <si>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</si>
  <si>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</si>
  <si>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</si>
  <si>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</si>
  <si>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</si>
  <si>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</si>
  <si>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</si>
  <si>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</si>
  <si>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25/12/62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</si>
</sst>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3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77</v>
      </c>
    </row>
    <row r="3" spans="2:5" s="226" customFormat="1" ht="27" customHeight="1" x14ac:dyDescent="0.2">
      <c r="B3" s="224"/>
      <c r="C3" s="228" t="s">
        <v>82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242151</v>
      </c>
      <c r="E5" s="223"/>
    </row>
    <row r="6" spans="2:5" ht="30" customHeight="1" x14ac:dyDescent="0.2">
      <c r="B6" s="234">
        <v>1</v>
      </c>
      <c r="C6" s="235" t="s">
        <v>74</v>
      </c>
      <c r="D6" s="236">
        <f>'1.1รวมยาทั้งหมด(1+2+3+4)'!O27</f>
        <v>1321841.1299999999</v>
      </c>
    </row>
    <row r="7" spans="2:5" ht="30" customHeight="1" x14ac:dyDescent="0.2">
      <c r="B7" s="234">
        <v>2</v>
      </c>
      <c r="C7" s="235" t="s">
        <v>75</v>
      </c>
      <c r="D7" s="236">
        <f>'1.2 ยาทั้งหมดรวมvaccin'!O27</f>
        <v>1739950.4900000002</v>
      </c>
    </row>
    <row r="8" spans="2:5" ht="60.75" customHeight="1" x14ac:dyDescent="0.2">
      <c r="B8" s="234">
        <v>3</v>
      </c>
      <c r="C8" s="237" t="s">
        <v>79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78</v>
      </c>
      <c r="D9" s="238">
        <f>D7+D8</f>
        <v>1739950.4900000002</v>
      </c>
    </row>
    <row r="10" spans="2:5" ht="12" customHeight="1" x14ac:dyDescent="0.2"/>
    <row r="11" spans="2:5" ht="23.25" customHeight="1" x14ac:dyDescent="0.2">
      <c r="B11" s="239" t="s">
        <v>76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25/12/62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68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69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1" t="s">
        <v>49</v>
      </c>
      <c r="M29" s="361"/>
      <c r="N29" s="361"/>
      <c r="O29" s="309"/>
      <c r="P29" s="354"/>
    </row>
    <row r="30" spans="1:16" s="115" customFormat="1" ht="18" customHeight="1" x14ac:dyDescent="0.45">
      <c r="A30" s="254"/>
      <c r="B30" s="256"/>
      <c r="G30" s="361" t="s">
        <v>80</v>
      </c>
      <c r="H30" s="361"/>
      <c r="I30" s="361"/>
      <c r="J30" s="121"/>
      <c r="K30" s="121"/>
      <c r="L30" s="361"/>
      <c r="M30" s="361"/>
      <c r="N30" s="361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="118" zoomScaleNormal="118" workbookViewId="0">
      <selection activeCell="E24" sqref="E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25/12/62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171+3514.7-299.6+481.5</f>
        <v>3867.6</v>
      </c>
      <c r="D5" s="36">
        <f>13369.47-1040-3780-145-350-171.2-149.8+1242.15</f>
        <v>8975.619999999999</v>
      </c>
      <c r="E5" s="36">
        <f>9883.17+4398+3384.95-1320-570-190</f>
        <v>15586.119999999999</v>
      </c>
      <c r="F5" s="36"/>
      <c r="G5" s="36"/>
      <c r="H5" s="36"/>
      <c r="I5" s="36"/>
      <c r="J5" s="36"/>
      <c r="K5" s="36"/>
      <c r="L5" s="36"/>
      <c r="M5" s="36"/>
      <c r="N5" s="36"/>
      <c r="O5" s="355">
        <f>SUM(C5:N5)</f>
        <v>28429.339999999997</v>
      </c>
      <c r="P5" s="286">
        <f t="shared" ref="P5:P27" si="0">O5/$O$23</f>
        <v>0.12947564970116754</v>
      </c>
    </row>
    <row r="6" spans="1:17" ht="17.25" customHeight="1" x14ac:dyDescent="0.2">
      <c r="A6" s="25">
        <v>2</v>
      </c>
      <c r="B6" s="26" t="s">
        <v>19</v>
      </c>
      <c r="C6" s="36">
        <f>4535.12+2440</f>
        <v>6975.12</v>
      </c>
      <c r="D6" s="36">
        <f>9414.2-1560-2520</f>
        <v>5334.2000000000007</v>
      </c>
      <c r="E6" s="36">
        <f>2318.5+285</f>
        <v>2603.5</v>
      </c>
      <c r="F6" s="36"/>
      <c r="G6" s="36"/>
      <c r="H6" s="36"/>
      <c r="I6" s="36"/>
      <c r="J6" s="36"/>
      <c r="K6" s="36"/>
      <c r="L6" s="36"/>
      <c r="M6" s="36"/>
      <c r="N6" s="36"/>
      <c r="O6" s="355">
        <f t="shared" ref="O6:O22" si="1">SUM(C6:N6)</f>
        <v>14912.82</v>
      </c>
      <c r="P6" s="286">
        <f t="shared" si="0"/>
        <v>6.791740710043094E-2</v>
      </c>
    </row>
    <row r="7" spans="1:17" ht="17.25" customHeight="1" x14ac:dyDescent="0.2">
      <c r="A7" s="25">
        <v>3</v>
      </c>
      <c r="B7" s="26" t="s">
        <v>20</v>
      </c>
      <c r="C7" s="36">
        <f>5949.65-110-440-440+5149.2-550</f>
        <v>9558.8499999999985</v>
      </c>
      <c r="D7" s="36">
        <v>120</v>
      </c>
      <c r="E7" s="36">
        <f>2516.95+1319.4</f>
        <v>3836.35</v>
      </c>
      <c r="F7" s="36"/>
      <c r="G7" s="36"/>
      <c r="H7" s="36"/>
      <c r="I7" s="36"/>
      <c r="J7" s="36"/>
      <c r="K7" s="36"/>
      <c r="L7" s="36"/>
      <c r="M7" s="36"/>
      <c r="N7" s="36"/>
      <c r="O7" s="355">
        <f t="shared" si="1"/>
        <v>13515.199999999999</v>
      </c>
      <c r="P7" s="286">
        <f t="shared" si="0"/>
        <v>6.1552230929076072E-2</v>
      </c>
    </row>
    <row r="8" spans="1:17" ht="17.25" customHeight="1" x14ac:dyDescent="0.2">
      <c r="A8" s="25">
        <v>4</v>
      </c>
      <c r="B8" s="26" t="s">
        <v>21</v>
      </c>
      <c r="C8" s="36">
        <f>7635.58-1100</f>
        <v>6535.58</v>
      </c>
      <c r="D8" s="36">
        <f>4228.12-322.67-395.9+4963.75</f>
        <v>8473.2999999999993</v>
      </c>
      <c r="E8" s="36">
        <f>11413.63-1300-550-550-550-330+962+235.4</f>
        <v>9331.0299999999988</v>
      </c>
      <c r="F8" s="36"/>
      <c r="G8" s="36"/>
      <c r="H8" s="36"/>
      <c r="I8" s="36"/>
      <c r="J8" s="36"/>
      <c r="K8" s="36"/>
      <c r="L8" s="36"/>
      <c r="M8" s="36"/>
      <c r="N8" s="36"/>
      <c r="O8" s="355">
        <f t="shared" si="1"/>
        <v>24339.909999999996</v>
      </c>
      <c r="P8" s="286">
        <f t="shared" si="0"/>
        <v>0.11085117209607907</v>
      </c>
    </row>
    <row r="9" spans="1:17" ht="17.25" customHeight="1" x14ac:dyDescent="0.2">
      <c r="A9" s="25">
        <v>5</v>
      </c>
      <c r="B9" s="26" t="s">
        <v>2</v>
      </c>
      <c r="C9" s="36">
        <f>2855.7-504+5390.5-2000-390-175+90</f>
        <v>5267.2</v>
      </c>
      <c r="D9" s="36">
        <f>1444-256.8+498</f>
        <v>1685.2</v>
      </c>
      <c r="E9" s="36">
        <f>2966.5+75+285+139.1+1400-600</f>
        <v>4265.6000000000004</v>
      </c>
      <c r="F9" s="36"/>
      <c r="G9" s="36"/>
      <c r="H9" s="36"/>
      <c r="I9" s="36"/>
      <c r="J9" s="36"/>
      <c r="K9" s="36"/>
      <c r="L9" s="36"/>
      <c r="M9" s="36"/>
      <c r="N9" s="36"/>
      <c r="O9" s="355">
        <f t="shared" si="1"/>
        <v>11218</v>
      </c>
      <c r="P9" s="286">
        <f t="shared" si="0"/>
        <v>5.1090100521070748E-2</v>
      </c>
    </row>
    <row r="10" spans="1:17" ht="17.25" customHeight="1" x14ac:dyDescent="0.2">
      <c r="A10" s="25">
        <v>6</v>
      </c>
      <c r="B10" s="26" t="s">
        <v>3</v>
      </c>
      <c r="C10" s="36">
        <v>4603</v>
      </c>
      <c r="D10" s="36">
        <v>0</v>
      </c>
      <c r="E10" s="36">
        <f>2327.6+35-550</f>
        <v>1812.6</v>
      </c>
      <c r="F10" s="36"/>
      <c r="G10" s="36"/>
      <c r="H10" s="36"/>
      <c r="I10" s="36"/>
      <c r="J10" s="36"/>
      <c r="K10" s="36"/>
      <c r="L10" s="36"/>
      <c r="M10" s="36"/>
      <c r="N10" s="36"/>
      <c r="O10" s="355">
        <f t="shared" si="1"/>
        <v>6415.6</v>
      </c>
      <c r="P10" s="286">
        <f t="shared" si="0"/>
        <v>2.9218545988855548E-2</v>
      </c>
    </row>
    <row r="11" spans="1:17" ht="17.25" customHeight="1" x14ac:dyDescent="0.2">
      <c r="A11" s="25">
        <v>7</v>
      </c>
      <c r="B11" s="26" t="s">
        <v>4</v>
      </c>
      <c r="C11" s="36">
        <f>10996.25-72.5-224-330-220-428-749</f>
        <v>8972.75</v>
      </c>
      <c r="D11" s="36">
        <v>0</v>
      </c>
      <c r="E11" s="36">
        <f>13316.74-190-237.54-145-224-330-1050+250</f>
        <v>11390.199999999999</v>
      </c>
      <c r="F11" s="36"/>
      <c r="G11" s="36"/>
      <c r="H11" s="36"/>
      <c r="I11" s="36"/>
      <c r="J11" s="36"/>
      <c r="K11" s="36"/>
      <c r="L11" s="36"/>
      <c r="M11" s="36"/>
      <c r="N11" s="36"/>
      <c r="O11" s="355">
        <f t="shared" si="1"/>
        <v>20362.949999999997</v>
      </c>
      <c r="P11" s="286">
        <f t="shared" si="0"/>
        <v>9.2738916242247948E-2</v>
      </c>
    </row>
    <row r="12" spans="1:17" ht="17.25" customHeight="1" x14ac:dyDescent="0.2">
      <c r="A12" s="25">
        <v>8</v>
      </c>
      <c r="B12" s="26" t="s">
        <v>5</v>
      </c>
      <c r="C12" s="36">
        <v>377.5</v>
      </c>
      <c r="D12" s="36">
        <f>4408.6-1210+198+480+4118.9-299-1050</f>
        <v>6646.5</v>
      </c>
      <c r="E12" s="36">
        <f>1617.84+674.1+1011.5+462</f>
        <v>3765.44</v>
      </c>
      <c r="F12" s="36"/>
      <c r="G12" s="36"/>
      <c r="H12" s="36"/>
      <c r="I12" s="36"/>
      <c r="J12" s="36"/>
      <c r="K12" s="36"/>
      <c r="L12" s="36"/>
      <c r="M12" s="36"/>
      <c r="N12" s="36"/>
      <c r="O12" s="355">
        <f t="shared" si="1"/>
        <v>10789.44</v>
      </c>
      <c r="P12" s="286">
        <f t="shared" si="0"/>
        <v>4.9138311121952362E-2</v>
      </c>
    </row>
    <row r="13" spans="1:17" ht="17.25" customHeight="1" x14ac:dyDescent="0.2">
      <c r="A13" s="25">
        <v>9</v>
      </c>
      <c r="B13" s="26" t="s">
        <v>6</v>
      </c>
      <c r="C13" s="36">
        <f>8924.02-1400-149.8-149.8</f>
        <v>7224.42</v>
      </c>
      <c r="D13" s="36">
        <v>3660.16</v>
      </c>
      <c r="E13" s="36">
        <v>2133.5</v>
      </c>
      <c r="F13" s="36"/>
      <c r="G13" s="36"/>
      <c r="H13" s="36"/>
      <c r="I13" s="36"/>
      <c r="J13" s="36"/>
      <c r="K13" s="36"/>
      <c r="L13" s="36"/>
      <c r="M13" s="36"/>
      <c r="N13" s="36"/>
      <c r="O13" s="355">
        <f t="shared" si="1"/>
        <v>13018.08</v>
      </c>
      <c r="P13" s="286">
        <f t="shared" si="0"/>
        <v>5.9288198947347187E-2</v>
      </c>
    </row>
    <row r="14" spans="1:17" ht="17.25" customHeight="1" x14ac:dyDescent="0.2">
      <c r="A14" s="25">
        <v>10</v>
      </c>
      <c r="B14" s="26" t="s">
        <v>7</v>
      </c>
      <c r="C14" s="36">
        <f>267.5+135+92.02</f>
        <v>494.52</v>
      </c>
      <c r="D14" s="36">
        <v>3543.84</v>
      </c>
      <c r="E14" s="36">
        <f>2413.24-110-110</f>
        <v>2193.2399999999998</v>
      </c>
      <c r="F14" s="36"/>
      <c r="G14" s="36"/>
      <c r="H14" s="36"/>
      <c r="I14" s="36"/>
      <c r="J14" s="36"/>
      <c r="K14" s="36"/>
      <c r="L14" s="36"/>
      <c r="M14" s="36"/>
      <c r="N14" s="36"/>
      <c r="O14" s="355">
        <f t="shared" si="1"/>
        <v>6231.6</v>
      </c>
      <c r="P14" s="286">
        <f t="shared" si="0"/>
        <v>2.8380555393751516E-2</v>
      </c>
    </row>
    <row r="15" spans="1:17" ht="17.25" customHeight="1" x14ac:dyDescent="0.2">
      <c r="A15" s="25">
        <v>11</v>
      </c>
      <c r="B15" s="26" t="s">
        <v>8</v>
      </c>
      <c r="C15" s="36">
        <f>7452.9-550-330-700-650+1945</f>
        <v>7167.9</v>
      </c>
      <c r="D15" s="36">
        <f>2880.5-550-650</f>
        <v>1680.5</v>
      </c>
      <c r="E15" s="36">
        <f>2413.24-110-110-700</f>
        <v>1493.2399999999998</v>
      </c>
      <c r="F15" s="36"/>
      <c r="G15" s="36"/>
      <c r="H15" s="36"/>
      <c r="I15" s="36"/>
      <c r="J15" s="36"/>
      <c r="K15" s="36"/>
      <c r="L15" s="36"/>
      <c r="M15" s="36"/>
      <c r="N15" s="36"/>
      <c r="O15" s="355">
        <f t="shared" si="1"/>
        <v>10341.64</v>
      </c>
      <c r="P15" s="286">
        <f t="shared" si="0"/>
        <v>4.709889705408505E-2</v>
      </c>
    </row>
    <row r="16" spans="1:17" ht="17.25" customHeight="1" x14ac:dyDescent="0.2">
      <c r="A16" s="25">
        <v>12</v>
      </c>
      <c r="B16" s="26" t="s">
        <v>9</v>
      </c>
      <c r="C16" s="36">
        <f>2743.8-350-325</f>
        <v>2068.8000000000002</v>
      </c>
      <c r="D16" s="36">
        <f>4941.88-500-112-161.33-85.6-74.9</f>
        <v>4008.05</v>
      </c>
      <c r="E16" s="36">
        <v>2176</v>
      </c>
      <c r="F16" s="36"/>
      <c r="G16" s="36"/>
      <c r="H16" s="36"/>
      <c r="I16" s="36"/>
      <c r="J16" s="36"/>
      <c r="K16" s="36"/>
      <c r="L16" s="36"/>
      <c r="M16" s="36"/>
      <c r="N16" s="36"/>
      <c r="O16" s="355">
        <f t="shared" si="1"/>
        <v>8252.85</v>
      </c>
      <c r="P16" s="286">
        <f t="shared" si="0"/>
        <v>3.7585927623936422E-2</v>
      </c>
    </row>
    <row r="17" spans="1:16" ht="17.25" customHeight="1" x14ac:dyDescent="0.2">
      <c r="A17" s="25">
        <v>13</v>
      </c>
      <c r="B17" s="26" t="s">
        <v>10</v>
      </c>
      <c r="C17" s="36">
        <f>5948.18-79.18-110-1300</f>
        <v>4459</v>
      </c>
      <c r="D17" s="36">
        <v>765</v>
      </c>
      <c r="E17" s="36">
        <v>171</v>
      </c>
      <c r="F17" s="36"/>
      <c r="G17" s="36"/>
      <c r="H17" s="36"/>
      <c r="I17" s="36"/>
      <c r="J17" s="36"/>
      <c r="K17" s="36"/>
      <c r="L17" s="36"/>
      <c r="M17" s="36"/>
      <c r="N17" s="36"/>
      <c r="O17" s="355">
        <f t="shared" si="1"/>
        <v>5395</v>
      </c>
      <c r="P17" s="286">
        <f t="shared" si="0"/>
        <v>2.4570430764055688E-2</v>
      </c>
    </row>
    <row r="18" spans="1:16" ht="17.25" customHeight="1" x14ac:dyDescent="0.2">
      <c r="A18" s="25">
        <v>14</v>
      </c>
      <c r="B18" s="26" t="s">
        <v>11</v>
      </c>
      <c r="C18" s="36">
        <f>840-220+695+288.9+214+270</f>
        <v>2087.9</v>
      </c>
      <c r="D18" s="36">
        <f>3832.5-1260</f>
        <v>2572.5</v>
      </c>
      <c r="E18" s="36">
        <f>2586.77+1319+285+700-175+4405.9</f>
        <v>9121.67</v>
      </c>
      <c r="F18" s="36"/>
      <c r="G18" s="36"/>
      <c r="H18" s="36"/>
      <c r="I18" s="36"/>
      <c r="J18" s="36"/>
      <c r="K18" s="36"/>
      <c r="L18" s="36"/>
      <c r="M18" s="36"/>
      <c r="N18" s="36"/>
      <c r="O18" s="355">
        <f t="shared" si="1"/>
        <v>13782.07</v>
      </c>
      <c r="P18" s="286">
        <f t="shared" si="0"/>
        <v>6.2767636092746798E-2</v>
      </c>
    </row>
    <row r="19" spans="1:16" ht="17.25" customHeight="1" x14ac:dyDescent="0.2">
      <c r="A19" s="25">
        <v>15</v>
      </c>
      <c r="B19" s="26" t="s">
        <v>12</v>
      </c>
      <c r="C19" s="36">
        <v>7265.75</v>
      </c>
      <c r="D19" s="36">
        <f>2460.11-85.6</f>
        <v>2374.5100000000002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55">
        <f t="shared" si="1"/>
        <v>9640.26</v>
      </c>
      <c r="P19" s="286">
        <f t="shared" si="0"/>
        <v>4.390460442585644E-2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2460.11-85.6</f>
        <v>2374.5100000000002</v>
      </c>
      <c r="E20" s="36">
        <v>480</v>
      </c>
      <c r="F20" s="36"/>
      <c r="G20" s="36"/>
      <c r="H20" s="36"/>
      <c r="I20" s="36"/>
      <c r="J20" s="36"/>
      <c r="K20" s="36"/>
      <c r="L20" s="36"/>
      <c r="M20" s="36"/>
      <c r="N20" s="36"/>
      <c r="O20" s="355">
        <f t="shared" si="1"/>
        <v>2854.51</v>
      </c>
      <c r="P20" s="286">
        <f t="shared" si="0"/>
        <v>1.3000285508860909E-2</v>
      </c>
    </row>
    <row r="21" spans="1:16" ht="17.25" customHeight="1" x14ac:dyDescent="0.2">
      <c r="A21" s="25">
        <v>17</v>
      </c>
      <c r="B21" s="26" t="s">
        <v>14</v>
      </c>
      <c r="C21" s="36">
        <f>2880.9+1391</f>
        <v>4271.8999999999996</v>
      </c>
      <c r="D21" s="36">
        <f>5888.82-149.8-100</f>
        <v>5639.0199999999995</v>
      </c>
      <c r="E21" s="36">
        <f>3170.39-149.8</f>
        <v>3020.5899999999997</v>
      </c>
      <c r="F21" s="36"/>
      <c r="G21" s="36"/>
      <c r="H21" s="36"/>
      <c r="I21" s="36"/>
      <c r="J21" s="36"/>
      <c r="K21" s="36"/>
      <c r="L21" s="36"/>
      <c r="M21" s="36"/>
      <c r="N21" s="36"/>
      <c r="O21" s="355">
        <f t="shared" si="1"/>
        <v>12931.509999999998</v>
      </c>
      <c r="P21" s="286">
        <f t="shared" si="0"/>
        <v>5.8893933480944155E-2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3663-110-110-79.18+320</f>
        <v>3683.82</v>
      </c>
      <c r="E22" s="36">
        <v>3458.27</v>
      </c>
      <c r="F22" s="36"/>
      <c r="G22" s="36"/>
      <c r="H22" s="36"/>
      <c r="I22" s="36"/>
      <c r="J22" s="36"/>
      <c r="K22" s="36"/>
      <c r="L22" s="36"/>
      <c r="M22" s="36"/>
      <c r="N22" s="36"/>
      <c r="O22" s="355">
        <f t="shared" si="1"/>
        <v>7142.09</v>
      </c>
      <c r="P22" s="286">
        <f t="shared" si="0"/>
        <v>3.2527197007535584E-2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C21+C20+C19+C18+C17+C16+C15+C14+C13+C12+C11+C10+C9+C8+C7+C6+C5</f>
        <v>81197.790000000008</v>
      </c>
      <c r="D23" s="42">
        <f>D22+D21+D20+D19+D18+D17+D16+D15+D14+D13+D12+D11+D10+D9+D8+D7+D6+D5</f>
        <v>61536.729999999996</v>
      </c>
      <c r="E23" s="42">
        <f>E21+E22+E20+E19+E18+E17+E16+E15+E14+E13+E12+E11+E10+E9+E8+E7+E6+E5</f>
        <v>76838.349999999991</v>
      </c>
      <c r="F23" s="42"/>
      <c r="G23" s="42"/>
      <c r="H23" s="42"/>
      <c r="I23" s="42"/>
      <c r="J23" s="42"/>
      <c r="K23" s="42"/>
      <c r="L23" s="42"/>
      <c r="M23" s="42"/>
      <c r="N23" s="42"/>
      <c r="O23" s="53">
        <f>SUM(C23:N23)</f>
        <v>219572.87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11752.34+885</f>
        <v>12637.34</v>
      </c>
      <c r="D24" s="36">
        <v>668</v>
      </c>
      <c r="E24" s="36">
        <f>5027.5+800+250+800+2256.63+32721.7-880</f>
        <v>40975.83</v>
      </c>
      <c r="F24" s="36"/>
      <c r="G24" s="36"/>
      <c r="H24" s="36"/>
      <c r="I24" s="36"/>
      <c r="J24" s="36"/>
      <c r="K24" s="36"/>
      <c r="L24" s="36"/>
      <c r="M24" s="36"/>
      <c r="N24" s="36"/>
      <c r="O24" s="355">
        <f>SUM(C24:N24)</f>
        <v>54281.17</v>
      </c>
      <c r="P24" s="286">
        <f t="shared" si="0"/>
        <v>0.24721255408284273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2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12637.34</v>
      </c>
      <c r="D26" s="41">
        <f t="shared" ref="D26:N26" si="3">SUM(D24:D25)</f>
        <v>668</v>
      </c>
      <c r="E26" s="41">
        <f t="shared" si="3"/>
        <v>40975.83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1">
        <f>SUM(C26:N26)</f>
        <v>54281.17</v>
      </c>
      <c r="P26" s="288">
        <f t="shared" si="0"/>
        <v>0.24721255408284273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93835.13</v>
      </c>
      <c r="D27" s="278">
        <f t="shared" ref="D27:N27" si="4">D23+D26</f>
        <v>62204.729999999996</v>
      </c>
      <c r="E27" s="278">
        <f t="shared" si="4"/>
        <v>117814.18</v>
      </c>
      <c r="F27" s="278">
        <f t="shared" si="4"/>
        <v>0</v>
      </c>
      <c r="G27" s="278">
        <f t="shared" si="4"/>
        <v>0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 t="shared" si="4"/>
        <v>0</v>
      </c>
      <c r="N27" s="278">
        <f t="shared" si="4"/>
        <v>0</v>
      </c>
      <c r="O27" s="278">
        <f>SUM(C27:N27)</f>
        <v>273854.03999999998</v>
      </c>
      <c r="P27" s="289">
        <f t="shared" si="0"/>
        <v>1.2472125540828427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2" t="s">
        <v>49</v>
      </c>
      <c r="M29" s="362"/>
      <c r="N29" s="362"/>
      <c r="O29" s="166"/>
      <c r="P29" s="296"/>
    </row>
    <row r="30" spans="1:16" s="114" customFormat="1" ht="18" customHeight="1" x14ac:dyDescent="0.45">
      <c r="A30" s="62"/>
      <c r="B30" s="193"/>
      <c r="G30" s="362" t="s">
        <v>80</v>
      </c>
      <c r="H30" s="362"/>
      <c r="I30" s="362"/>
      <c r="J30" s="15"/>
      <c r="K30" s="15"/>
      <c r="L30" s="362"/>
      <c r="M30" s="362"/>
      <c r="N30" s="362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E24" sqref="E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25/12/62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1040</v>
      </c>
      <c r="E5" s="36">
        <f>1320+570</f>
        <v>1890</v>
      </c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1560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780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1300</v>
      </c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1040</v>
      </c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500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500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500</v>
      </c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500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C15+C6</f>
        <v>2060</v>
      </c>
      <c r="D23" s="42">
        <f>D21+D22+D20+D19+D18+D17+D16+D15+D14+D13+D12+D11+D10+D9+D8+D7+D6+D5</f>
        <v>4380</v>
      </c>
      <c r="E23" s="42">
        <f>E18+E12+E8+E5</f>
        <v>4730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11000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1">SUM(D24:D25)</f>
        <v>11000</v>
      </c>
      <c r="E26" s="41">
        <f t="shared" si="1"/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272">
        <f t="shared" ref="O26" si="2">SUM(C26:N26)</f>
        <v>11000</v>
      </c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2060</v>
      </c>
      <c r="D27" s="278">
        <f t="shared" ref="D27:N27" si="3">+D23+D26</f>
        <v>15380</v>
      </c>
      <c r="E27" s="278">
        <f t="shared" si="3"/>
        <v>4730</v>
      </c>
      <c r="F27" s="278">
        <f t="shared" si="3"/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22170</v>
      </c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2" t="s">
        <v>49</v>
      </c>
      <c r="M29" s="362"/>
      <c r="N29" s="362"/>
      <c r="O29" s="166"/>
      <c r="P29" s="296"/>
    </row>
    <row r="30" spans="1:16" s="114" customFormat="1" ht="18" customHeight="1" x14ac:dyDescent="0.45">
      <c r="A30" s="62"/>
      <c r="B30" s="193"/>
      <c r="G30" s="362" t="s">
        <v>80</v>
      </c>
      <c r="H30" s="362"/>
      <c r="I30" s="362"/>
      <c r="J30" s="15"/>
      <c r="K30" s="15"/>
      <c r="L30" s="362"/>
      <c r="M30" s="362"/>
      <c r="N30" s="362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Normal="100" workbookViewId="0">
      <selection activeCell="E24" sqref="E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25/12/62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350</v>
      </c>
      <c r="E5" s="36">
        <f>1100+550+700</f>
        <v>2350</v>
      </c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2700</v>
      </c>
      <c r="P5" s="286">
        <f t="shared" ref="P5:P27" si="0">O5/$O$23</f>
        <v>9.4559335983329537E-2</v>
      </c>
    </row>
    <row r="6" spans="1:17" ht="17.25" customHeight="1" x14ac:dyDescent="0.2">
      <c r="A6" s="25">
        <v>2</v>
      </c>
      <c r="B6" s="26" t="s">
        <v>19</v>
      </c>
      <c r="C6" s="36">
        <v>1100</v>
      </c>
      <c r="D6" s="36">
        <v>1384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2484</v>
      </c>
      <c r="P6" s="286">
        <f t="shared" si="0"/>
        <v>8.6994589104663178E-2</v>
      </c>
    </row>
    <row r="7" spans="1:17" ht="17.25" customHeight="1" x14ac:dyDescent="0.2">
      <c r="A7" s="25">
        <v>3</v>
      </c>
      <c r="B7" s="26" t="s">
        <v>20</v>
      </c>
      <c r="C7" s="36">
        <f>110+440+440+550</f>
        <v>1540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1540</v>
      </c>
      <c r="P7" s="286">
        <f t="shared" si="0"/>
        <v>5.3933843486787959E-2</v>
      </c>
    </row>
    <row r="8" spans="1:17" ht="17.25" customHeight="1" x14ac:dyDescent="0.2">
      <c r="A8" s="25">
        <v>4</v>
      </c>
      <c r="B8" s="26" t="s">
        <v>21</v>
      </c>
      <c r="C8" s="36">
        <v>1100</v>
      </c>
      <c r="D8" s="36">
        <v>322.67</v>
      </c>
      <c r="E8" s="36">
        <f>550+550+550+330</f>
        <v>1980</v>
      </c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3402.67</v>
      </c>
      <c r="P8" s="286">
        <f t="shared" si="0"/>
        <v>0.1191682280631096</v>
      </c>
    </row>
    <row r="9" spans="1:17" ht="17.25" customHeight="1" x14ac:dyDescent="0.2">
      <c r="A9" s="25">
        <v>5</v>
      </c>
      <c r="B9" s="26" t="s">
        <v>2</v>
      </c>
      <c r="C9" s="36">
        <f>-330+550+1050+175</f>
        <v>1445</v>
      </c>
      <c r="D9" s="36">
        <v>0</v>
      </c>
      <c r="E9" s="36">
        <v>600</v>
      </c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2045</v>
      </c>
      <c r="P9" s="286">
        <f t="shared" si="0"/>
        <v>7.161994151329959E-2</v>
      </c>
    </row>
    <row r="10" spans="1:17" ht="17.25" customHeight="1" x14ac:dyDescent="0.2">
      <c r="A10" s="25">
        <v>6</v>
      </c>
      <c r="B10" s="26" t="s">
        <v>3</v>
      </c>
      <c r="C10" s="36">
        <v>556</v>
      </c>
      <c r="D10" s="36">
        <v>0</v>
      </c>
      <c r="E10" s="36">
        <v>550</v>
      </c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1106</v>
      </c>
      <c r="P10" s="286">
        <f t="shared" si="0"/>
        <v>3.8734305776874992E-2</v>
      </c>
    </row>
    <row r="11" spans="1:17" ht="17.25" customHeight="1" x14ac:dyDescent="0.2">
      <c r="A11" s="25">
        <v>7</v>
      </c>
      <c r="B11" s="26" t="s">
        <v>4</v>
      </c>
      <c r="C11" s="36">
        <f>224+330+220</f>
        <v>774</v>
      </c>
      <c r="D11" s="36">
        <v>0</v>
      </c>
      <c r="E11" s="36">
        <f>224+330+1050</f>
        <v>1604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2378</v>
      </c>
      <c r="P11" s="286">
        <f t="shared" si="0"/>
        <v>8.3282259617910234E-2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1210+1050</f>
        <v>2260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2260</v>
      </c>
      <c r="P12" s="286">
        <f t="shared" si="0"/>
        <v>7.9149666415675834E-2</v>
      </c>
    </row>
    <row r="13" spans="1:17" ht="17.25" customHeight="1" x14ac:dyDescent="0.2">
      <c r="A13" s="25">
        <v>10</v>
      </c>
      <c r="B13" s="26" t="s">
        <v>6</v>
      </c>
      <c r="C13" s="36">
        <v>1400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1400</v>
      </c>
      <c r="P13" s="286">
        <f t="shared" si="0"/>
        <v>4.903076680617087E-2</v>
      </c>
    </row>
    <row r="14" spans="1:17" ht="17.25" customHeight="1" x14ac:dyDescent="0.2">
      <c r="A14" s="25">
        <v>11</v>
      </c>
      <c r="B14" s="26" t="s">
        <v>7</v>
      </c>
      <c r="C14" s="36">
        <v>550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550</v>
      </c>
      <c r="P14" s="286">
        <f t="shared" si="0"/>
        <v>1.9262086959567128E-2</v>
      </c>
    </row>
    <row r="15" spans="1:17" ht="17.25" customHeight="1" x14ac:dyDescent="0.2">
      <c r="A15" s="25">
        <v>12</v>
      </c>
      <c r="B15" s="26" t="s">
        <v>8</v>
      </c>
      <c r="C15" s="36">
        <f>550+330+650</f>
        <v>1530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1530</v>
      </c>
      <c r="P15" s="286">
        <f t="shared" si="0"/>
        <v>5.3583623723886739E-2</v>
      </c>
    </row>
    <row r="16" spans="1:17" ht="17.25" customHeight="1" x14ac:dyDescent="0.2">
      <c r="A16" s="25">
        <v>13</v>
      </c>
      <c r="B16" s="26" t="s">
        <v>9</v>
      </c>
      <c r="C16" s="36">
        <f>350+325</f>
        <v>675</v>
      </c>
      <c r="D16" s="36">
        <f>550+650</f>
        <v>1200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1875</v>
      </c>
      <c r="P16" s="286">
        <f t="shared" si="0"/>
        <v>6.5666205543978853E-2</v>
      </c>
    </row>
    <row r="17" spans="1:17" ht="17.25" customHeight="1" x14ac:dyDescent="0.2">
      <c r="A17" s="25">
        <v>14</v>
      </c>
      <c r="B17" s="26" t="s">
        <v>10</v>
      </c>
      <c r="C17" s="36">
        <f>110+1300</f>
        <v>1410</v>
      </c>
      <c r="D17" s="36">
        <f>112+161.33+85.6+74.9</f>
        <v>433.83000000000004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1843.83</v>
      </c>
      <c r="P17" s="286">
        <f t="shared" si="0"/>
        <v>6.4574570543015741E-2</v>
      </c>
    </row>
    <row r="18" spans="1:17" ht="17.25" customHeight="1" x14ac:dyDescent="0.2">
      <c r="A18" s="25">
        <v>15</v>
      </c>
      <c r="B18" s="26" t="s">
        <v>11</v>
      </c>
      <c r="C18" s="36">
        <v>220</v>
      </c>
      <c r="D18" s="36">
        <v>1050</v>
      </c>
      <c r="E18" s="36">
        <f>175+224</f>
        <v>399</v>
      </c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1669</v>
      </c>
      <c r="P18" s="286">
        <f t="shared" si="0"/>
        <v>5.8451678428213708E-2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7" ht="17.25" customHeight="1" x14ac:dyDescent="0.2">
      <c r="A21" s="25">
        <v>18</v>
      </c>
      <c r="B21" s="26" t="s">
        <v>14</v>
      </c>
      <c r="C21" s="36">
        <v>1550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1550</v>
      </c>
      <c r="P21" s="286">
        <f t="shared" si="0"/>
        <v>5.428406324968918E-2</v>
      </c>
    </row>
    <row r="22" spans="1:17" ht="17.25" customHeight="1" x14ac:dyDescent="0.2">
      <c r="A22" s="25">
        <v>19</v>
      </c>
      <c r="B22" s="26" t="s">
        <v>15</v>
      </c>
      <c r="C22" s="36">
        <v>840</v>
      </c>
      <c r="D22" s="36">
        <v>220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1060</v>
      </c>
      <c r="P22" s="286">
        <f t="shared" si="0"/>
        <v>3.7123294867529376E-2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C6+C7+C8+C9+C10+C11+C12+C13+C14+C15+C16+C17+C18+C21+C5</f>
        <v>13850</v>
      </c>
      <c r="D23" s="358">
        <f>D22+D21+D20+D19+D18+D17+D16+D15+D14+D13+D12+D11+D10+D9+D8+D7+D6+D5</f>
        <v>7220.5</v>
      </c>
      <c r="E23" s="42">
        <f>E18+E11+E10+E9+E8+E5</f>
        <v>7483</v>
      </c>
      <c r="F23" s="42"/>
      <c r="G23" s="42"/>
      <c r="H23" s="42"/>
      <c r="I23" s="42"/>
      <c r="J23" s="42"/>
      <c r="K23" s="42"/>
      <c r="L23" s="42"/>
      <c r="M23" s="42"/>
      <c r="N23" s="42"/>
      <c r="O23" s="53">
        <f>SUM(C23:N23)</f>
        <v>28553.5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1100+880</f>
        <v>1980</v>
      </c>
      <c r="F24" s="36"/>
      <c r="G24" s="36"/>
      <c r="H24" s="36"/>
      <c r="I24" s="36"/>
      <c r="J24" s="36"/>
      <c r="K24" s="36"/>
      <c r="L24" s="36"/>
      <c r="M24" s="36"/>
      <c r="N24" s="36"/>
      <c r="O24" s="267">
        <f t="shared" ref="O24:O26" si="2">SUM(C24:N24)</f>
        <v>1980</v>
      </c>
      <c r="P24" s="286">
        <f t="shared" si="0"/>
        <v>6.9343513054441669E-2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1980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2">
        <f t="shared" si="2"/>
        <v>1980</v>
      </c>
      <c r="P26" s="288">
        <f t="shared" si="0"/>
        <v>6.9343513054441669E-2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13850</v>
      </c>
      <c r="D27" s="278">
        <f t="shared" ref="D27:N27" si="4">+D23+D26</f>
        <v>7220.5</v>
      </c>
      <c r="E27" s="278">
        <f t="shared" si="4"/>
        <v>9463</v>
      </c>
      <c r="F27" s="278">
        <f t="shared" si="4"/>
        <v>0</v>
      </c>
      <c r="G27" s="278">
        <f t="shared" si="4"/>
        <v>0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8">
        <f>SUM(C27:N27)</f>
        <v>30533.5</v>
      </c>
      <c r="P27" s="289">
        <f t="shared" si="0"/>
        <v>1.0693435130544418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2" t="s">
        <v>49</v>
      </c>
      <c r="M29" s="362"/>
      <c r="N29" s="362"/>
      <c r="O29" s="166"/>
      <c r="P29" s="296"/>
    </row>
    <row r="30" spans="1:17" s="114" customFormat="1" ht="18" customHeight="1" x14ac:dyDescent="0.45">
      <c r="A30" s="62"/>
      <c r="B30" s="193"/>
      <c r="G30" s="362" t="s">
        <v>80</v>
      </c>
      <c r="H30" s="362"/>
      <c r="I30" s="362"/>
      <c r="J30" s="15"/>
      <c r="K30" s="15"/>
      <c r="L30" s="362"/>
      <c r="M30" s="362"/>
      <c r="N30" s="362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3" zoomScaleNormal="100" workbookViewId="0">
      <selection activeCell="E24" sqref="E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25/12/62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1260</v>
      </c>
      <c r="D5" s="36">
        <v>3780</v>
      </c>
      <c r="E5" s="36">
        <v>190</v>
      </c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5230</v>
      </c>
      <c r="P5" s="286">
        <f t="shared" ref="P5:P27" si="0">O5/$O$23</f>
        <v>0.12095402428840064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2520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2520</v>
      </c>
      <c r="P6" s="286">
        <f t="shared" si="0"/>
        <v>5.8279950517546773E-2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395.9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395.9</v>
      </c>
      <c r="P8" s="286">
        <f t="shared" si="0"/>
        <v>9.1559652420225273E-3</v>
      </c>
    </row>
    <row r="9" spans="1:17" ht="17.25" customHeight="1" x14ac:dyDescent="0.2">
      <c r="A9" s="25">
        <v>5</v>
      </c>
      <c r="B9" s="26" t="s">
        <v>2</v>
      </c>
      <c r="C9" s="36">
        <f>2000+1260+504.6</f>
        <v>3764.6</v>
      </c>
      <c r="D9" s="36">
        <v>5040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8804.6</v>
      </c>
      <c r="P9" s="286">
        <f t="shared" si="0"/>
        <v>0.20362367155825092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1335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1335</v>
      </c>
      <c r="P10" s="286">
        <f t="shared" si="0"/>
        <v>3.0874497595605135E-2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f>190+237.54</f>
        <v>427.53999999999996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427.53999999999996</v>
      </c>
      <c r="P11" s="286">
        <f t="shared" si="0"/>
        <v>9.887702398520614E-3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79.180000000000007</v>
      </c>
      <c r="D17" s="36">
        <v>12600</v>
      </c>
      <c r="E17" s="36">
        <v>190</v>
      </c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12869.18</v>
      </c>
      <c r="P17" s="286">
        <f t="shared" si="0"/>
        <v>0.29762506888944551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1260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1260</v>
      </c>
      <c r="P18" s="286">
        <f t="shared" si="0"/>
        <v>2.9139975258773387E-2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79.180000000000007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79.180000000000007</v>
      </c>
      <c r="P19" s="286">
        <f t="shared" si="0"/>
        <v>1.8311930484045055E-3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2520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2520</v>
      </c>
      <c r="P20" s="286">
        <f t="shared" si="0"/>
        <v>5.8279950517546773E-2</v>
      </c>
    </row>
    <row r="21" spans="1:16" ht="17.25" customHeight="1" x14ac:dyDescent="0.2">
      <c r="A21" s="25">
        <v>17</v>
      </c>
      <c r="B21" s="26" t="s">
        <v>14</v>
      </c>
      <c r="C21" s="36">
        <v>2520</v>
      </c>
      <c r="D21" s="36">
        <v>2599.1799999999998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5119.18</v>
      </c>
      <c r="P21" s="286">
        <f t="shared" si="0"/>
        <v>0.11839109408349806</v>
      </c>
    </row>
    <row r="22" spans="1:16" ht="17.25" customHeight="1" x14ac:dyDescent="0.2">
      <c r="A22" s="25">
        <v>18</v>
      </c>
      <c r="B22" s="26" t="s">
        <v>15</v>
      </c>
      <c r="C22" s="36">
        <f>2520+79.81</f>
        <v>2599.81</v>
      </c>
      <c r="D22" s="36">
        <v>79.180000000000007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2678.99</v>
      </c>
      <c r="P22" s="286">
        <f t="shared" si="0"/>
        <v>6.1956906601985169E-2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C22+C21+C17+C9+C5</f>
        <v>10223.59</v>
      </c>
      <c r="D23" s="42">
        <f>D22+D21+D20+D19+D18+D17+D16+D15+D14+D13+D12+D11+D10+D9+D8+D7+D6+D5</f>
        <v>32208.440000000002</v>
      </c>
      <c r="E23" s="42">
        <f>E17+E11+E5</f>
        <v>807.54</v>
      </c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ref="O23:O27" si="2">SUM(C23:N23)</f>
        <v>43239.57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67">
        <f t="shared" si="2"/>
        <v>0</v>
      </c>
      <c r="P24" s="286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>SUM(M24:M25)</f>
        <v>0</v>
      </c>
      <c r="N26" s="41">
        <f t="shared" si="3"/>
        <v>0</v>
      </c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10223.59</v>
      </c>
      <c r="D27" s="278">
        <f t="shared" ref="D27:N27" si="4">+D23+D26</f>
        <v>32208.440000000002</v>
      </c>
      <c r="E27" s="278">
        <f t="shared" si="4"/>
        <v>807.54</v>
      </c>
      <c r="F27" s="278">
        <f t="shared" si="4"/>
        <v>0</v>
      </c>
      <c r="G27" s="278">
        <f t="shared" si="4"/>
        <v>0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9">
        <f t="shared" si="2"/>
        <v>43239.57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2" t="s">
        <v>49</v>
      </c>
      <c r="M29" s="362"/>
      <c r="N29" s="362"/>
      <c r="O29" s="166"/>
      <c r="P29" s="296"/>
    </row>
    <row r="30" spans="1:16" s="114" customFormat="1" ht="18" customHeight="1" x14ac:dyDescent="0.45">
      <c r="A30" s="62"/>
      <c r="B30" s="193"/>
      <c r="G30" s="362" t="s">
        <v>80</v>
      </c>
      <c r="H30" s="362"/>
      <c r="I30" s="362"/>
      <c r="J30" s="15"/>
      <c r="K30" s="15"/>
      <c r="L30" s="362"/>
      <c r="M30" s="362"/>
      <c r="N30" s="362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E25" sqref="E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25/12/62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390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390</v>
      </c>
      <c r="P9" s="286">
        <f t="shared" si="0"/>
        <v>1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C9</f>
        <v>390</v>
      </c>
      <c r="D23" s="42">
        <v>0</v>
      </c>
      <c r="E23" s="42">
        <v>0</v>
      </c>
      <c r="F23" s="42"/>
      <c r="G23" s="42"/>
      <c r="H23" s="42"/>
      <c r="I23" s="42"/>
      <c r="J23" s="42"/>
      <c r="K23" s="42"/>
      <c r="L23" s="42"/>
      <c r="M23" s="42"/>
      <c r="N23" s="42"/>
      <c r="O23" s="42">
        <f>SUM(O5:O22)</f>
        <v>390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390</v>
      </c>
      <c r="D27" s="278">
        <f t="shared" ref="D27:N27" si="3">+D23+D26</f>
        <v>0</v>
      </c>
      <c r="E27" s="278">
        <f t="shared" si="3"/>
        <v>0</v>
      </c>
      <c r="F27" s="278">
        <f t="shared" si="3"/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390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2" t="s">
        <v>49</v>
      </c>
      <c r="M29" s="362"/>
      <c r="N29" s="362"/>
      <c r="O29" s="166"/>
      <c r="P29" s="296"/>
    </row>
    <row r="30" spans="1:16" s="114" customFormat="1" ht="18" customHeight="1" x14ac:dyDescent="0.45">
      <c r="A30" s="62"/>
      <c r="B30" s="193"/>
      <c r="G30" s="362" t="s">
        <v>80</v>
      </c>
      <c r="H30" s="362"/>
      <c r="I30" s="362"/>
      <c r="J30" s="15"/>
      <c r="K30" s="15"/>
      <c r="L30" s="362"/>
      <c r="M30" s="362"/>
      <c r="N30" s="362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workbookViewId="0">
      <selection activeCell="E27" sqref="E27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25/12/62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145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66">
        <f>126+K5+H5+M5</f>
        <v>126</v>
      </c>
      <c r="P5" s="286">
        <f t="shared" ref="P5:P27" si="0">O5/$O$23</f>
        <v>0.51851851851851849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7">
        <v>25</v>
      </c>
      <c r="P7" s="286">
        <f t="shared" si="0"/>
        <v>0.102880658436214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72.5</v>
      </c>
      <c r="D11" s="36">
        <v>0</v>
      </c>
      <c r="E11" s="36">
        <v>145</v>
      </c>
      <c r="F11" s="36"/>
      <c r="G11" s="36"/>
      <c r="H11" s="36"/>
      <c r="I11" s="36"/>
      <c r="J11" s="36"/>
      <c r="K11" s="36"/>
      <c r="L11" s="36"/>
      <c r="M11" s="36"/>
      <c r="N11" s="36"/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7">
        <v>92</v>
      </c>
      <c r="P17" s="286">
        <f t="shared" si="0"/>
        <v>0.37860082304526749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f>66</f>
        <v>66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72.5</v>
      </c>
      <c r="D23" s="42">
        <f t="shared" ref="D23:N23" si="1">SUM(D5:D22)</f>
        <v>211</v>
      </c>
      <c r="E23" s="42">
        <f t="shared" si="1"/>
        <v>145</v>
      </c>
      <c r="F23" s="42">
        <f t="shared" si="1"/>
        <v>0</v>
      </c>
      <c r="G23" s="42">
        <f t="shared" si="1"/>
        <v>0</v>
      </c>
      <c r="H23" s="42">
        <f t="shared" si="1"/>
        <v>0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53">
        <f>SUM(O5:O22)</f>
        <v>243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>
        <v>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72.5</v>
      </c>
      <c r="D27" s="278">
        <f t="shared" ref="D27:N27" si="3">D23+D26</f>
        <v>211</v>
      </c>
      <c r="E27" s="278">
        <f t="shared" si="3"/>
        <v>145</v>
      </c>
      <c r="F27" s="278">
        <f t="shared" si="3"/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O23</f>
        <v>243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2" t="s">
        <v>49</v>
      </c>
      <c r="M29" s="362"/>
      <c r="N29" s="362"/>
      <c r="O29" s="166"/>
      <c r="P29" s="296"/>
    </row>
    <row r="30" spans="1:16" s="114" customFormat="1" ht="18" customHeight="1" x14ac:dyDescent="0.45">
      <c r="A30" s="62"/>
      <c r="B30" s="193"/>
      <c r="G30" s="362" t="s">
        <v>80</v>
      </c>
      <c r="H30" s="362"/>
      <c r="I30" s="362"/>
      <c r="J30" s="15"/>
      <c r="K30" s="15"/>
      <c r="L30" s="362"/>
      <c r="M30" s="362"/>
      <c r="N30" s="362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18" zoomScaleNormal="118" workbookViewId="0">
      <selection activeCell="E28" sqref="E28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25/12/62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28761.36+500+278</f>
        <v>29539.360000000001</v>
      </c>
      <c r="D5" s="36">
        <f>28695.89+8473.5</f>
        <v>37169.39</v>
      </c>
      <c r="E5" s="36">
        <f>20793.46+360+547+800+375</f>
        <v>22875.46</v>
      </c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89584.209999999992</v>
      </c>
      <c r="P5" s="286">
        <f t="shared" ref="P5:P27" si="0">O5/$O$23</f>
        <v>0.16514322533600545</v>
      </c>
    </row>
    <row r="6" spans="1:17" s="27" customFormat="1" ht="18" customHeight="1" x14ac:dyDescent="0.2">
      <c r="A6" s="25">
        <v>2</v>
      </c>
      <c r="B6" s="28" t="s">
        <v>19</v>
      </c>
      <c r="C6" s="35">
        <f>16641.56+1947+1426</f>
        <v>20014.560000000001</v>
      </c>
      <c r="D6" s="36">
        <f>2296.58+60+620+14270.27+160+1320</f>
        <v>18726.849999999999</v>
      </c>
      <c r="E6" s="36">
        <f>10497.8+64+37.5</f>
        <v>10599.3</v>
      </c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49340.710000000006</v>
      </c>
      <c r="P6" s="286">
        <f t="shared" si="0"/>
        <v>9.0956698616513995E-2</v>
      </c>
    </row>
    <row r="7" spans="1:17" s="27" customFormat="1" ht="18" customHeight="1" x14ac:dyDescent="0.2">
      <c r="A7" s="25">
        <v>3</v>
      </c>
      <c r="B7" s="28" t="s">
        <v>20</v>
      </c>
      <c r="C7" s="35">
        <f>3547.28+1707.57+150</f>
        <v>5404.85</v>
      </c>
      <c r="D7" s="36">
        <v>2977.12</v>
      </c>
      <c r="E7" s="36">
        <f>5022.55+750</f>
        <v>5772.55</v>
      </c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14154.52</v>
      </c>
      <c r="P7" s="286">
        <f t="shared" si="0"/>
        <v>2.6093025611131648E-2</v>
      </c>
    </row>
    <row r="8" spans="1:17" s="27" customFormat="1" ht="18" customHeight="1" x14ac:dyDescent="0.2">
      <c r="A8" s="25">
        <v>4</v>
      </c>
      <c r="B8" s="28" t="s">
        <v>21</v>
      </c>
      <c r="C8" s="35">
        <f>3956.5+4503.93</f>
        <v>8460.43</v>
      </c>
      <c r="D8" s="36">
        <f>5728</f>
        <v>5728</v>
      </c>
      <c r="E8" s="36">
        <f>15945.13+788+4200</f>
        <v>20933.129999999997</v>
      </c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35121.56</v>
      </c>
      <c r="P8" s="286">
        <f t="shared" si="0"/>
        <v>6.4744531399361954E-2</v>
      </c>
    </row>
    <row r="9" spans="1:17" s="27" customFormat="1" ht="18" customHeight="1" x14ac:dyDescent="0.2">
      <c r="A9" s="25">
        <v>5</v>
      </c>
      <c r="B9" s="28" t="s">
        <v>2</v>
      </c>
      <c r="C9" s="35">
        <f>540+3745+2206.75+400</f>
        <v>6891.75</v>
      </c>
      <c r="D9" s="36">
        <f>6330+119.84+308.16+620+200</f>
        <v>7578</v>
      </c>
      <c r="E9" s="36">
        <f>10190.35+6286</f>
        <v>16476.349999999999</v>
      </c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30946.1</v>
      </c>
      <c r="P9" s="286">
        <f t="shared" si="0"/>
        <v>5.7047316324724616E-2</v>
      </c>
    </row>
    <row r="10" spans="1:17" s="27" customFormat="1" ht="18" customHeight="1" x14ac:dyDescent="0.2">
      <c r="A10" s="25">
        <v>6</v>
      </c>
      <c r="B10" s="28" t="s">
        <v>3</v>
      </c>
      <c r="C10" s="35">
        <f>11202.83+1008</f>
        <v>12210.83</v>
      </c>
      <c r="D10" s="36">
        <f>4857+60</f>
        <v>4917</v>
      </c>
      <c r="E10" s="36">
        <f>6651.18</f>
        <v>6651.18</v>
      </c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23779.010000000002</v>
      </c>
      <c r="P10" s="286">
        <f t="shared" si="0"/>
        <v>4.3835207194405437E-2</v>
      </c>
    </row>
    <row r="11" spans="1:17" s="27" customFormat="1" ht="18" customHeight="1" x14ac:dyDescent="0.2">
      <c r="A11" s="25">
        <v>7</v>
      </c>
      <c r="B11" s="28" t="s">
        <v>4</v>
      </c>
      <c r="C11" s="35">
        <f>12974.3+100+240</f>
        <v>13314.3</v>
      </c>
      <c r="D11" s="36">
        <f>8611.66+960</f>
        <v>9571.66</v>
      </c>
      <c r="E11" s="36">
        <f>18120.98+1130+540+984</f>
        <v>20774.98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43660.94</v>
      </c>
      <c r="P11" s="286">
        <f t="shared" si="0"/>
        <v>8.0486376480875532E-2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3622.72</v>
      </c>
      <c r="D12" s="36">
        <f>17002.59+10082.41+725+1300+1320+300</f>
        <v>30730</v>
      </c>
      <c r="E12" s="36">
        <f>5962+960+6201.82+1240</f>
        <v>14363.82</v>
      </c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48716.54</v>
      </c>
      <c r="P12" s="286">
        <f t="shared" si="0"/>
        <v>8.9806077910499216E-2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9653.64</v>
      </c>
      <c r="D13" s="36">
        <f>4435.81</f>
        <v>4435.8100000000004</v>
      </c>
      <c r="E13" s="36">
        <f>9446.8+480</f>
        <v>9926.7999999999993</v>
      </c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24016.25</v>
      </c>
      <c r="P13" s="286">
        <f t="shared" si="0"/>
        <v>4.4272545189334607E-2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1124</v>
      </c>
      <c r="D14" s="36">
        <v>6398</v>
      </c>
      <c r="E14" s="36">
        <v>1967</v>
      </c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9489</v>
      </c>
      <c r="P14" s="286">
        <f t="shared" si="0"/>
        <v>1.7492413732435166E-2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5284.2+11965.12+150</f>
        <v>17399.32</v>
      </c>
      <c r="D15" s="36">
        <f>688+3573.66</f>
        <v>4261.66</v>
      </c>
      <c r="E15" s="36">
        <v>6015.12</v>
      </c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27676.1</v>
      </c>
      <c r="P15" s="286">
        <f t="shared" si="0"/>
        <v>5.1019263536752964E-2</v>
      </c>
    </row>
    <row r="16" spans="1:17" s="27" customFormat="1" ht="18" customHeight="1" x14ac:dyDescent="0.2">
      <c r="A16" s="25">
        <v>12</v>
      </c>
      <c r="B16" s="28" t="s">
        <v>9</v>
      </c>
      <c r="C16" s="35">
        <v>3976.99</v>
      </c>
      <c r="D16" s="36">
        <f>5674.79</f>
        <v>5674.79</v>
      </c>
      <c r="E16" s="36">
        <f>7372.71+40+333.84+54.33</f>
        <v>7800.88</v>
      </c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17452.66</v>
      </c>
      <c r="P16" s="286">
        <f t="shared" si="0"/>
        <v>3.2172952835021806E-2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10363.79+50</f>
        <v>10413.790000000001</v>
      </c>
      <c r="D17" s="36">
        <f>6555+180</f>
        <v>6735</v>
      </c>
      <c r="E17" s="36">
        <v>3510</v>
      </c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20658.79</v>
      </c>
      <c r="P17" s="286">
        <f t="shared" si="0"/>
        <v>3.8083265032299959E-2</v>
      </c>
    </row>
    <row r="18" spans="1:16" s="27" customFormat="1" ht="18" customHeight="1" x14ac:dyDescent="0.2">
      <c r="A18" s="25">
        <v>14</v>
      </c>
      <c r="B18" s="28" t="s">
        <v>11</v>
      </c>
      <c r="C18" s="35">
        <v>866.92</v>
      </c>
      <c r="D18" s="36">
        <f>4749.78+375</f>
        <v>5124.78</v>
      </c>
      <c r="E18" s="36">
        <v>3864.1</v>
      </c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9855.7999999999993</v>
      </c>
      <c r="P18" s="286">
        <f t="shared" si="0"/>
        <v>1.8168587971770945E-2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8527.1200000000008</v>
      </c>
      <c r="D19" s="36">
        <f>10681.7+1895.12</f>
        <v>12576.82</v>
      </c>
      <c r="E19" s="36">
        <v>12736.34</v>
      </c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33840.28</v>
      </c>
      <c r="P19" s="286">
        <f t="shared" si="0"/>
        <v>6.238256703356003E-2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v>8481.76</v>
      </c>
      <c r="E20" s="36">
        <f>5592.1+620+630</f>
        <v>6842.1</v>
      </c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15323.86</v>
      </c>
      <c r="P20" s="286">
        <f t="shared" si="0"/>
        <v>2.8248635166815677E-2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2128.53+4584.28</f>
        <v>6712.8099999999995</v>
      </c>
      <c r="D21" s="36">
        <f>64+7712.12</f>
        <v>7776.12</v>
      </c>
      <c r="E21" s="36">
        <f>8616.06</f>
        <v>8616.06</v>
      </c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23104.989999999998</v>
      </c>
      <c r="P21" s="286">
        <f t="shared" si="0"/>
        <v>4.259269094359544E-2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7507.46</v>
      </c>
      <c r="D22" s="36">
        <f>11095.53+58+100</f>
        <v>11253.53</v>
      </c>
      <c r="E22" s="36">
        <f>6801.42+180</f>
        <v>6981.42</v>
      </c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25742.410000000003</v>
      </c>
      <c r="P22" s="286">
        <f t="shared" si="0"/>
        <v>4.7454619684895817E-2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C22+C21+C20+C19+C18+C17+C16+C15+C14+C13+C12+C11+C10+C9+C8+C7+C6+C5</f>
        <v>165640.84999999998</v>
      </c>
      <c r="D23" s="132">
        <f>D22+D21+D20+D19+D18+D17+D16+D15+D14+D13+D12+D11+D10+D9+D8+D7+D6+D5</f>
        <v>190116.28999999998</v>
      </c>
      <c r="E23" s="132">
        <f>E22+E21+E20+E19+E18+E17+E16+E15+E14+E13+E12+E11+E10+E9+E8+E7+E6+E5</f>
        <v>186706.58999999997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>
        <f>SUM(O5:O22)</f>
        <v>542463.72999999986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9915.56+2640+30300.42</f>
        <v>42855.979999999996</v>
      </c>
      <c r="D24" s="36">
        <f>31121.14+4060+419.44+230+1080+200</f>
        <v>37110.58</v>
      </c>
      <c r="E24" s="36">
        <f>10721.32+8575+1625+300+2280+840+6272.77+150</f>
        <v>30764.09</v>
      </c>
      <c r="F24" s="36"/>
      <c r="G24" s="36"/>
      <c r="H24" s="36"/>
      <c r="I24" s="36"/>
      <c r="J24" s="36"/>
      <c r="K24" s="36"/>
      <c r="L24" s="36"/>
      <c r="M24" s="36"/>
      <c r="N24" s="36"/>
      <c r="O24" s="266">
        <f t="shared" ref="O24:O27" si="2">SUM(C24:N24)</f>
        <v>110730.65</v>
      </c>
      <c r="P24" s="286">
        <f t="shared" si="0"/>
        <v>0.20412544447902539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2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2"/>
        <v>0</v>
      </c>
      <c r="P26" s="288">
        <f t="shared" si="0"/>
        <v>0</v>
      </c>
    </row>
    <row r="27" spans="1:16" s="134" customFormat="1" ht="20.25" customHeight="1" x14ac:dyDescent="0.2">
      <c r="A27" s="155" t="s">
        <v>67</v>
      </c>
      <c r="B27" s="156" t="s">
        <v>25</v>
      </c>
      <c r="C27" s="157">
        <f>C24+C23</f>
        <v>208496.82999999996</v>
      </c>
      <c r="D27" s="158">
        <f>D24+D23</f>
        <v>227226.87</v>
      </c>
      <c r="E27" s="158">
        <f>E24+E23</f>
        <v>217470.67999999996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>
        <f t="shared" si="2"/>
        <v>653194.37999999989</v>
      </c>
      <c r="P27" s="330">
        <f t="shared" si="0"/>
        <v>1.2041254444790255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25/12/62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67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E28" sqref="E2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25/12/62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18926.5+1620+17961</f>
        <v>38507.5</v>
      </c>
      <c r="D5" s="92">
        <f>450+135+47561</f>
        <v>48146</v>
      </c>
      <c r="E5" s="92">
        <f>31620+26750+1620</f>
        <v>59990</v>
      </c>
      <c r="F5" s="92"/>
      <c r="G5" s="92"/>
      <c r="H5" s="92"/>
      <c r="I5" s="92"/>
      <c r="J5" s="92"/>
      <c r="K5" s="92"/>
      <c r="L5" s="92"/>
      <c r="M5" s="92"/>
      <c r="N5" s="92"/>
      <c r="O5" s="305">
        <f>SUM(C5:N5)</f>
        <v>146643.5</v>
      </c>
      <c r="P5" s="340">
        <f>O5/$O$23</f>
        <v>0.21931386042031911</v>
      </c>
    </row>
    <row r="6" spans="1:17" s="20" customFormat="1" ht="19.5" customHeight="1" x14ac:dyDescent="0.2">
      <c r="A6" s="5">
        <v>2</v>
      </c>
      <c r="B6" s="34" t="s">
        <v>19</v>
      </c>
      <c r="C6" s="92">
        <f>16812+810</f>
        <v>17622</v>
      </c>
      <c r="D6" s="92">
        <f>1620+9900+18755</f>
        <v>30275</v>
      </c>
      <c r="E6" s="92">
        <f>642+640+28882+810</f>
        <v>30974</v>
      </c>
      <c r="F6" s="92"/>
      <c r="G6" s="92"/>
      <c r="H6" s="92"/>
      <c r="I6" s="92"/>
      <c r="J6" s="92"/>
      <c r="K6" s="92"/>
      <c r="L6" s="92"/>
      <c r="M6" s="92"/>
      <c r="N6" s="92"/>
      <c r="O6" s="305">
        <f t="shared" ref="O6:O22" si="0">SUM(C6:N6)</f>
        <v>78871</v>
      </c>
      <c r="P6" s="340">
        <f t="shared" ref="P6:P27" si="1">O6/$O$23</f>
        <v>0.11795615547372361</v>
      </c>
    </row>
    <row r="7" spans="1:17" s="20" customFormat="1" ht="19.5" customHeight="1" x14ac:dyDescent="0.2">
      <c r="A7" s="5">
        <v>3</v>
      </c>
      <c r="B7" s="34" t="s">
        <v>20</v>
      </c>
      <c r="C7" s="92">
        <f>5480+810+2961.5</f>
        <v>9251.5</v>
      </c>
      <c r="D7" s="92">
        <v>5630</v>
      </c>
      <c r="E7" s="92">
        <f>7282+15160+810</f>
        <v>23252</v>
      </c>
      <c r="F7" s="92"/>
      <c r="G7" s="92"/>
      <c r="H7" s="92"/>
      <c r="I7" s="92"/>
      <c r="J7" s="92"/>
      <c r="K7" s="92"/>
      <c r="L7" s="92"/>
      <c r="M7" s="92"/>
      <c r="N7" s="92"/>
      <c r="O7" s="305">
        <f t="shared" si="0"/>
        <v>38133.5</v>
      </c>
      <c r="P7" s="340">
        <f t="shared" si="1"/>
        <v>5.7030861213338731E-2</v>
      </c>
    </row>
    <row r="8" spans="1:17" s="20" customFormat="1" ht="19.5" customHeight="1" x14ac:dyDescent="0.2">
      <c r="A8" s="5">
        <v>4</v>
      </c>
      <c r="B8" s="34" t="s">
        <v>21</v>
      </c>
      <c r="C8" s="92">
        <v>4173</v>
      </c>
      <c r="D8" s="92">
        <f>4650+51444+3240</f>
        <v>59334</v>
      </c>
      <c r="E8" s="92">
        <v>25112</v>
      </c>
      <c r="F8" s="92"/>
      <c r="G8" s="92"/>
      <c r="H8" s="92"/>
      <c r="I8" s="92"/>
      <c r="J8" s="92"/>
      <c r="K8" s="92"/>
      <c r="L8" s="92"/>
      <c r="M8" s="92"/>
      <c r="N8" s="92"/>
      <c r="O8" s="305">
        <f t="shared" si="0"/>
        <v>88619</v>
      </c>
      <c r="P8" s="340">
        <f t="shared" si="1"/>
        <v>0.1325348549140484</v>
      </c>
    </row>
    <row r="9" spans="1:17" s="20" customFormat="1" ht="19.5" customHeight="1" x14ac:dyDescent="0.2">
      <c r="A9" s="5">
        <v>5</v>
      </c>
      <c r="B9" s="34" t="s">
        <v>2</v>
      </c>
      <c r="C9" s="92">
        <f>1255.5+875+30604.5+810</f>
        <v>33545</v>
      </c>
      <c r="D9" s="92">
        <v>3700</v>
      </c>
      <c r="E9" s="92">
        <f>2484+1300+810+8609.5+972</f>
        <v>14175.5</v>
      </c>
      <c r="F9" s="92"/>
      <c r="G9" s="92"/>
      <c r="H9" s="92"/>
      <c r="I9" s="92"/>
      <c r="J9" s="92"/>
      <c r="K9" s="92"/>
      <c r="L9" s="92"/>
      <c r="M9" s="92"/>
      <c r="N9" s="92"/>
      <c r="O9" s="305">
        <f t="shared" si="0"/>
        <v>51420.5</v>
      </c>
      <c r="P9" s="340">
        <f t="shared" si="1"/>
        <v>7.6902340436112188E-2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6166+972</f>
        <v>7138</v>
      </c>
      <c r="D10" s="92">
        <v>1764</v>
      </c>
      <c r="E10" s="92">
        <f>12522+810</f>
        <v>13332</v>
      </c>
      <c r="F10" s="92"/>
      <c r="G10" s="92"/>
      <c r="H10" s="92"/>
      <c r="I10" s="92"/>
      <c r="J10" s="92"/>
      <c r="K10" s="92"/>
      <c r="L10" s="92"/>
      <c r="M10" s="92"/>
      <c r="N10" s="92"/>
      <c r="O10" s="305">
        <f t="shared" si="0"/>
        <v>22234</v>
      </c>
      <c r="P10" s="340">
        <f t="shared" si="1"/>
        <v>3.325223670047002E-2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17460+1620</f>
        <v>19080</v>
      </c>
      <c r="D11" s="92">
        <v>2625</v>
      </c>
      <c r="E11" s="92">
        <f>810+6260</f>
        <v>7070</v>
      </c>
      <c r="F11" s="92"/>
      <c r="G11" s="92"/>
      <c r="H11" s="92"/>
      <c r="I11" s="92"/>
      <c r="J11" s="92"/>
      <c r="K11" s="92"/>
      <c r="L11" s="92"/>
      <c r="M11" s="92"/>
      <c r="N11" s="92"/>
      <c r="O11" s="305">
        <f t="shared" si="0"/>
        <v>28775</v>
      </c>
      <c r="P11" s="340">
        <f t="shared" si="1"/>
        <v>4.3034681616264489E-2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2915.5</v>
      </c>
      <c r="D12" s="92">
        <f>810+2140+810+11702</f>
        <v>15462</v>
      </c>
      <c r="E12" s="92">
        <f>3390+1620+16677.5</f>
        <v>21687.5</v>
      </c>
      <c r="F12" s="92"/>
      <c r="G12" s="92"/>
      <c r="H12" s="92"/>
      <c r="I12" s="92"/>
      <c r="J12" s="92"/>
      <c r="K12" s="92"/>
      <c r="L12" s="92"/>
      <c r="M12" s="92"/>
      <c r="N12" s="92"/>
      <c r="O12" s="305">
        <f t="shared" si="0"/>
        <v>40065</v>
      </c>
      <c r="P12" s="340">
        <f t="shared" si="1"/>
        <v>5.9919531501499111E-2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5320</v>
      </c>
      <c r="D13" s="92">
        <f>180+214</f>
        <v>394</v>
      </c>
      <c r="E13" s="92">
        <f>1662+324</f>
        <v>1986</v>
      </c>
      <c r="F13" s="92"/>
      <c r="G13" s="92"/>
      <c r="H13" s="92"/>
      <c r="I13" s="92"/>
      <c r="J13" s="92"/>
      <c r="K13" s="92"/>
      <c r="L13" s="92"/>
      <c r="M13" s="92"/>
      <c r="N13" s="92"/>
      <c r="O13" s="305">
        <f t="shared" si="0"/>
        <v>7700</v>
      </c>
      <c r="P13" s="340">
        <f t="shared" si="1"/>
        <v>1.151579664449128E-2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2731</v>
      </c>
      <c r="D14" s="92">
        <v>0</v>
      </c>
      <c r="E14" s="92">
        <f>4650</f>
        <v>4650</v>
      </c>
      <c r="F14" s="92"/>
      <c r="G14" s="92"/>
      <c r="H14" s="92"/>
      <c r="I14" s="92"/>
      <c r="J14" s="92"/>
      <c r="K14" s="92"/>
      <c r="L14" s="92"/>
      <c r="M14" s="92"/>
      <c r="N14" s="92"/>
      <c r="O14" s="305">
        <f t="shared" si="0"/>
        <v>7381</v>
      </c>
      <c r="P14" s="340">
        <f t="shared" si="1"/>
        <v>1.103871364064807E-2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12152+810</f>
        <v>12962</v>
      </c>
      <c r="D15" s="92">
        <f>9900+2500+5566.5+810</f>
        <v>18776.5</v>
      </c>
      <c r="E15" s="92">
        <f>9005+2250</f>
        <v>11255</v>
      </c>
      <c r="F15" s="92"/>
      <c r="G15" s="92"/>
      <c r="H15" s="92"/>
      <c r="I15" s="92"/>
      <c r="J15" s="92"/>
      <c r="K15" s="92"/>
      <c r="L15" s="92"/>
      <c r="M15" s="92"/>
      <c r="N15" s="92"/>
      <c r="O15" s="305">
        <f t="shared" si="0"/>
        <v>42993.5</v>
      </c>
      <c r="P15" s="340">
        <f t="shared" si="1"/>
        <v>6.4299273121420239E-2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1325+162</f>
        <v>1487</v>
      </c>
      <c r="D16" s="92">
        <f>4844.5+370+324</f>
        <v>5538.5</v>
      </c>
      <c r="E16" s="92">
        <v>3983.5</v>
      </c>
      <c r="F16" s="92"/>
      <c r="G16" s="92"/>
      <c r="H16" s="92"/>
      <c r="I16" s="92"/>
      <c r="J16" s="92"/>
      <c r="K16" s="92"/>
      <c r="L16" s="92"/>
      <c r="M16" s="92"/>
      <c r="N16" s="92"/>
      <c r="O16" s="305">
        <f t="shared" si="0"/>
        <v>11009</v>
      </c>
      <c r="P16" s="340">
        <f t="shared" si="1"/>
        <v>1.6464598085610974E-2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2782</v>
      </c>
      <c r="D17" s="92">
        <v>1730</v>
      </c>
      <c r="E17" s="92">
        <f>1156+810+9750</f>
        <v>11716</v>
      </c>
      <c r="F17" s="92"/>
      <c r="G17" s="92"/>
      <c r="H17" s="92"/>
      <c r="I17" s="92"/>
      <c r="J17" s="92"/>
      <c r="K17" s="92"/>
      <c r="L17" s="92"/>
      <c r="M17" s="92"/>
      <c r="N17" s="92"/>
      <c r="O17" s="305">
        <f t="shared" si="0"/>
        <v>16228</v>
      </c>
      <c r="P17" s="340">
        <f t="shared" si="1"/>
        <v>2.4269915317766819E-2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2130</v>
      </c>
      <c r="D18" s="92">
        <v>0</v>
      </c>
      <c r="E18" s="92">
        <f>11654.25+648</f>
        <v>12302.25</v>
      </c>
      <c r="F18" s="92"/>
      <c r="G18" s="92"/>
      <c r="H18" s="92"/>
      <c r="I18" s="92"/>
      <c r="J18" s="92"/>
      <c r="K18" s="92"/>
      <c r="L18" s="92"/>
      <c r="M18" s="92"/>
      <c r="N18" s="92"/>
      <c r="O18" s="305">
        <f t="shared" si="0"/>
        <v>14432.25</v>
      </c>
      <c r="P18" s="340">
        <f t="shared" si="1"/>
        <v>2.1584267028890814E-2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2294+1620</f>
        <v>3914</v>
      </c>
      <c r="D19" s="92">
        <f>4342+810</f>
        <v>5152</v>
      </c>
      <c r="E19" s="92">
        <f>5242</f>
        <v>5242</v>
      </c>
      <c r="F19" s="92"/>
      <c r="G19" s="92"/>
      <c r="H19" s="92"/>
      <c r="I19" s="92"/>
      <c r="J19" s="92"/>
      <c r="K19" s="92"/>
      <c r="L19" s="92"/>
      <c r="M19" s="92"/>
      <c r="N19" s="92"/>
      <c r="O19" s="305">
        <f t="shared" si="0"/>
        <v>14308</v>
      </c>
      <c r="P19" s="340">
        <f t="shared" si="1"/>
        <v>2.1398443946672889E-2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5500.5+486</f>
        <v>5986.5</v>
      </c>
      <c r="E20" s="92">
        <f>5008+2610+1734</f>
        <v>9352</v>
      </c>
      <c r="F20" s="92"/>
      <c r="G20" s="92"/>
      <c r="H20" s="92"/>
      <c r="I20" s="92"/>
      <c r="J20" s="92"/>
      <c r="K20" s="92"/>
      <c r="L20" s="92"/>
      <c r="M20" s="92"/>
      <c r="N20" s="92"/>
      <c r="O20" s="305">
        <f t="shared" si="0"/>
        <v>15338.5</v>
      </c>
      <c r="P20" s="340">
        <f t="shared" si="1"/>
        <v>2.2939616471627209E-2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1963+7811+486</f>
        <v>10260</v>
      </c>
      <c r="D21" s="92">
        <v>10561</v>
      </c>
      <c r="E21" s="92">
        <f>5029+1391+450+324</f>
        <v>7194</v>
      </c>
      <c r="F21" s="92"/>
      <c r="G21" s="92"/>
      <c r="H21" s="92"/>
      <c r="I21" s="92"/>
      <c r="J21" s="92"/>
      <c r="K21" s="92"/>
      <c r="L21" s="92"/>
      <c r="M21" s="92"/>
      <c r="N21" s="92"/>
      <c r="O21" s="305">
        <f t="shared" si="0"/>
        <v>28015</v>
      </c>
      <c r="P21" s="340">
        <f t="shared" si="1"/>
        <v>4.1898057531873145E-2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10850.5+810</f>
        <v>11660.5</v>
      </c>
      <c r="E22" s="92">
        <f>3841+160.5+390+428</f>
        <v>4819.5</v>
      </c>
      <c r="F22" s="92"/>
      <c r="G22" s="92"/>
      <c r="H22" s="92"/>
      <c r="I22" s="92"/>
      <c r="J22" s="92"/>
      <c r="K22" s="92"/>
      <c r="L22" s="92"/>
      <c r="M22" s="92"/>
      <c r="N22" s="92"/>
      <c r="O22" s="305">
        <f t="shared" si="0"/>
        <v>16480</v>
      </c>
      <c r="P22" s="340">
        <f t="shared" si="1"/>
        <v>2.4646795935222895E-2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C21+C20+C19+C18+C17+C16+C15+C14+C13+C12+C11+C10+C9+C8+C7+C6+C5</f>
        <v>173818.5</v>
      </c>
      <c r="D23" s="96">
        <f>D22+D21+D20+D19+D18+D17+D16+D15+D14+D13+D12+D11+D10+D9+D8+D7+D6+D5</f>
        <v>226735</v>
      </c>
      <c r="E23" s="96">
        <f>E21+E22+E20+E19+E18+E17+E16+E15+E14+E13+E12+E11+E10+E9+E8+E7+E6+E5</f>
        <v>268093.25</v>
      </c>
      <c r="F23" s="96"/>
      <c r="G23" s="96"/>
      <c r="H23" s="96"/>
      <c r="I23" s="96"/>
      <c r="J23" s="96"/>
      <c r="K23" s="96"/>
      <c r="L23" s="96"/>
      <c r="M23" s="96"/>
      <c r="N23" s="96"/>
      <c r="O23" s="306">
        <f t="shared" ref="O23:O26" si="2">SUM(C23:N23)</f>
        <v>668646.75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12303+6300+1620</f>
        <v>20223</v>
      </c>
      <c r="D24" s="93">
        <f>5790+9007</f>
        <v>14797</v>
      </c>
      <c r="E24" s="93">
        <f>4782.9+18492.2+486</f>
        <v>23761.1</v>
      </c>
      <c r="F24" s="93"/>
      <c r="G24" s="93"/>
      <c r="H24" s="93"/>
      <c r="I24" s="93"/>
      <c r="J24" s="93"/>
      <c r="K24" s="93"/>
      <c r="L24" s="93"/>
      <c r="M24" s="93"/>
      <c r="N24" s="93"/>
      <c r="O24" s="307">
        <f t="shared" si="2"/>
        <v>58781.1</v>
      </c>
      <c r="P24" s="342">
        <f t="shared" si="1"/>
        <v>8.7910544693442394E-2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0</v>
      </c>
      <c r="P26" s="343">
        <f t="shared" si="1"/>
        <v>0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C23+C24</f>
        <v>194041.5</v>
      </c>
      <c r="D27" s="158">
        <f>D23+D24</f>
        <v>241532</v>
      </c>
      <c r="E27" s="158">
        <f>E23+E24</f>
        <v>291854.34999999998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>
        <f>SUM(C27:N27)</f>
        <v>727427.85</v>
      </c>
      <c r="P27" s="330">
        <f t="shared" si="1"/>
        <v>1.0879105446934423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59" t="s">
        <v>72</v>
      </c>
      <c r="H30" s="359"/>
      <c r="I30" s="359"/>
      <c r="J30" s="56"/>
      <c r="K30" s="56"/>
      <c r="L30" s="359" t="s">
        <v>49</v>
      </c>
      <c r="M30" s="359"/>
      <c r="N30" s="359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64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E26" sqref="E26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65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25/12/62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6323.06</v>
      </c>
      <c r="D5" s="129">
        <v>9638</v>
      </c>
      <c r="E5" s="129">
        <f>1562.4+6514.86</f>
        <v>8077.26</v>
      </c>
      <c r="F5" s="129"/>
      <c r="G5" s="129"/>
      <c r="H5" s="129"/>
      <c r="I5" s="129"/>
      <c r="J5" s="129"/>
      <c r="K5" s="129"/>
      <c r="L5" s="129"/>
      <c r="M5" s="129"/>
      <c r="N5" s="129"/>
      <c r="O5" s="299">
        <f>SUM(C5:N5)</f>
        <v>24038.32</v>
      </c>
      <c r="P5" s="286">
        <f t="shared" ref="P5:P27" si="0">O5/$O$23</f>
        <v>5.7492900900376877E-2</v>
      </c>
    </row>
    <row r="6" spans="1:17" ht="18" customHeight="1" x14ac:dyDescent="0.2">
      <c r="A6" s="25">
        <v>2</v>
      </c>
      <c r="B6" s="26" t="s">
        <v>19</v>
      </c>
      <c r="C6" s="129">
        <v>1980.78</v>
      </c>
      <c r="D6" s="129">
        <f>10233+4384</f>
        <v>14617</v>
      </c>
      <c r="E6" s="129">
        <f>3695</f>
        <v>3695</v>
      </c>
      <c r="F6" s="129"/>
      <c r="G6" s="129"/>
      <c r="H6" s="129"/>
      <c r="I6" s="129"/>
      <c r="J6" s="129"/>
      <c r="K6" s="129"/>
      <c r="L6" s="129"/>
      <c r="M6" s="129"/>
      <c r="N6" s="129"/>
      <c r="O6" s="299">
        <f t="shared" ref="O6:O26" si="1">SUM(C6:N6)</f>
        <v>20292.78</v>
      </c>
      <c r="P6" s="286">
        <f t="shared" si="0"/>
        <v>4.8534622616436998E-2</v>
      </c>
    </row>
    <row r="7" spans="1:17" ht="18" customHeight="1" x14ac:dyDescent="0.2">
      <c r="A7" s="25">
        <v>3</v>
      </c>
      <c r="B7" s="26" t="s">
        <v>20</v>
      </c>
      <c r="C7" s="129">
        <v>4337.5600000000004</v>
      </c>
      <c r="D7" s="129">
        <v>2375.1</v>
      </c>
      <c r="E7" s="129">
        <v>2934.31</v>
      </c>
      <c r="F7" s="129"/>
      <c r="G7" s="129"/>
      <c r="H7" s="129"/>
      <c r="I7" s="129"/>
      <c r="J7" s="129"/>
      <c r="K7" s="129"/>
      <c r="L7" s="129"/>
      <c r="M7" s="129"/>
      <c r="N7" s="129"/>
      <c r="O7" s="299">
        <f t="shared" si="1"/>
        <v>9646.9699999999993</v>
      </c>
      <c r="P7" s="286">
        <f t="shared" si="0"/>
        <v>2.307283912515137E-2</v>
      </c>
    </row>
    <row r="8" spans="1:17" ht="18" customHeight="1" x14ac:dyDescent="0.2">
      <c r="A8" s="25">
        <v>4</v>
      </c>
      <c r="B8" s="26" t="s">
        <v>21</v>
      </c>
      <c r="C8" s="129">
        <v>8261.0400000000009</v>
      </c>
      <c r="D8" s="129">
        <f>56701.24+79389.36</f>
        <v>136090.6</v>
      </c>
      <c r="E8" s="129">
        <v>5786.28</v>
      </c>
      <c r="F8" s="129"/>
      <c r="G8" s="129"/>
      <c r="H8" s="129"/>
      <c r="I8" s="129"/>
      <c r="J8" s="129"/>
      <c r="K8" s="129"/>
      <c r="L8" s="129"/>
      <c r="M8" s="129"/>
      <c r="N8" s="129"/>
      <c r="O8" s="299">
        <f t="shared" si="1"/>
        <v>150137.92000000001</v>
      </c>
      <c r="P8" s="286">
        <f t="shared" si="0"/>
        <v>0.35908767983572532</v>
      </c>
    </row>
    <row r="9" spans="1:17" ht="18" customHeight="1" x14ac:dyDescent="0.2">
      <c r="A9" s="25">
        <v>5</v>
      </c>
      <c r="B9" s="26" t="s">
        <v>2</v>
      </c>
      <c r="C9" s="129">
        <v>7310.59</v>
      </c>
      <c r="D9" s="129">
        <v>3037.13</v>
      </c>
      <c r="E9" s="129">
        <v>6688.79</v>
      </c>
      <c r="F9" s="129"/>
      <c r="G9" s="129"/>
      <c r="H9" s="129"/>
      <c r="I9" s="129"/>
      <c r="J9" s="129"/>
      <c r="K9" s="129"/>
      <c r="L9" s="129"/>
      <c r="M9" s="129"/>
      <c r="N9" s="129"/>
      <c r="O9" s="299">
        <f t="shared" si="1"/>
        <v>17036.510000000002</v>
      </c>
      <c r="P9" s="286">
        <f t="shared" si="0"/>
        <v>4.074654057015132E-2</v>
      </c>
    </row>
    <row r="10" spans="1:17" ht="18" customHeight="1" x14ac:dyDescent="0.2">
      <c r="A10" s="25">
        <v>6</v>
      </c>
      <c r="B10" s="26" t="s">
        <v>3</v>
      </c>
      <c r="C10" s="129">
        <v>4253.34</v>
      </c>
      <c r="D10" s="129">
        <v>4972.5600000000004</v>
      </c>
      <c r="E10" s="129">
        <v>2573.4299999999998</v>
      </c>
      <c r="F10" s="129"/>
      <c r="G10" s="129"/>
      <c r="H10" s="129"/>
      <c r="I10" s="129"/>
      <c r="J10" s="129"/>
      <c r="K10" s="129"/>
      <c r="L10" s="129"/>
      <c r="M10" s="129"/>
      <c r="N10" s="129"/>
      <c r="O10" s="299">
        <f t="shared" si="1"/>
        <v>11799.330000000002</v>
      </c>
      <c r="P10" s="286">
        <f t="shared" si="0"/>
        <v>2.8220678915200564E-2</v>
      </c>
    </row>
    <row r="11" spans="1:17" ht="18" customHeight="1" x14ac:dyDescent="0.2">
      <c r="A11" s="25">
        <v>7</v>
      </c>
      <c r="B11" s="26" t="s">
        <v>4</v>
      </c>
      <c r="C11" s="129">
        <v>2991.3</v>
      </c>
      <c r="D11" s="129">
        <v>2638.52</v>
      </c>
      <c r="E11" s="129">
        <v>5100.33</v>
      </c>
      <c r="F11" s="129"/>
      <c r="G11" s="129"/>
      <c r="H11" s="129"/>
      <c r="I11" s="129"/>
      <c r="J11" s="129"/>
      <c r="K11" s="129"/>
      <c r="L11" s="129"/>
      <c r="M11" s="129"/>
      <c r="N11" s="129"/>
      <c r="O11" s="299">
        <f t="shared" si="1"/>
        <v>10730.15</v>
      </c>
      <c r="P11" s="286">
        <f t="shared" si="0"/>
        <v>2.5663501051495237E-2</v>
      </c>
    </row>
    <row r="12" spans="1:17" ht="18" customHeight="1" x14ac:dyDescent="0.2">
      <c r="A12" s="25">
        <v>8</v>
      </c>
      <c r="B12" s="26" t="s">
        <v>5</v>
      </c>
      <c r="C12" s="129">
        <v>5681.46</v>
      </c>
      <c r="D12" s="129">
        <v>6650.42</v>
      </c>
      <c r="E12" s="129">
        <v>5548.2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299">
        <f t="shared" si="1"/>
        <v>17880.080000000002</v>
      </c>
      <c r="P12" s="286">
        <f t="shared" si="0"/>
        <v>4.2764122764436564E-2</v>
      </c>
    </row>
    <row r="13" spans="1:17" ht="18" customHeight="1" x14ac:dyDescent="0.2">
      <c r="A13" s="25">
        <v>9</v>
      </c>
      <c r="B13" s="26" t="s">
        <v>6</v>
      </c>
      <c r="C13" s="129">
        <v>4926.6400000000003</v>
      </c>
      <c r="D13" s="129">
        <f>6697.74+3873.16</f>
        <v>10570.9</v>
      </c>
      <c r="E13" s="129">
        <v>6111.15</v>
      </c>
      <c r="F13" s="129"/>
      <c r="G13" s="129"/>
      <c r="H13" s="129"/>
      <c r="I13" s="129"/>
      <c r="J13" s="129"/>
      <c r="K13" s="129"/>
      <c r="L13" s="129"/>
      <c r="M13" s="129"/>
      <c r="N13" s="129"/>
      <c r="O13" s="299">
        <f t="shared" si="1"/>
        <v>21608.690000000002</v>
      </c>
      <c r="P13" s="286">
        <f t="shared" si="0"/>
        <v>5.168190924977141E-2</v>
      </c>
    </row>
    <row r="14" spans="1:17" ht="18" customHeight="1" x14ac:dyDescent="0.2">
      <c r="A14" s="25">
        <v>10</v>
      </c>
      <c r="B14" s="26" t="s">
        <v>7</v>
      </c>
      <c r="C14" s="129">
        <v>308.26</v>
      </c>
      <c r="D14" s="129">
        <f>4073.52</f>
        <v>4073.52</v>
      </c>
      <c r="E14" s="129">
        <v>3587.58</v>
      </c>
      <c r="F14" s="129"/>
      <c r="G14" s="129"/>
      <c r="H14" s="129"/>
      <c r="I14" s="129"/>
      <c r="J14" s="129"/>
      <c r="K14" s="129"/>
      <c r="L14" s="129"/>
      <c r="M14" s="129"/>
      <c r="N14" s="129"/>
      <c r="O14" s="299">
        <f t="shared" si="1"/>
        <v>7969.36</v>
      </c>
      <c r="P14" s="286">
        <f t="shared" si="0"/>
        <v>1.9060467816362687E-2</v>
      </c>
    </row>
    <row r="15" spans="1:17" ht="18" customHeight="1" x14ac:dyDescent="0.2">
      <c r="A15" s="25">
        <v>11</v>
      </c>
      <c r="B15" s="26" t="s">
        <v>8</v>
      </c>
      <c r="C15" s="129">
        <v>2533.8200000000002</v>
      </c>
      <c r="D15" s="129">
        <f>4189.84</f>
        <v>4189.84</v>
      </c>
      <c r="E15" s="129">
        <v>2924.07</v>
      </c>
      <c r="F15" s="129"/>
      <c r="G15" s="129"/>
      <c r="H15" s="129"/>
      <c r="I15" s="129"/>
      <c r="J15" s="129"/>
      <c r="K15" s="129"/>
      <c r="L15" s="129"/>
      <c r="M15" s="129"/>
      <c r="N15" s="129"/>
      <c r="O15" s="299">
        <f t="shared" si="1"/>
        <v>9647.73</v>
      </c>
      <c r="P15" s="286">
        <f t="shared" si="0"/>
        <v>2.3074656831408892E-2</v>
      </c>
    </row>
    <row r="16" spans="1:17" ht="18" customHeight="1" x14ac:dyDescent="0.2">
      <c r="A16" s="25">
        <v>12</v>
      </c>
      <c r="B16" s="26" t="s">
        <v>9</v>
      </c>
      <c r="C16" s="129">
        <v>1678.6</v>
      </c>
      <c r="D16" s="129">
        <v>9649.9599999999991</v>
      </c>
      <c r="E16" s="129">
        <v>3846.43</v>
      </c>
      <c r="F16" s="129"/>
      <c r="G16" s="129"/>
      <c r="H16" s="129"/>
      <c r="I16" s="129"/>
      <c r="J16" s="129"/>
      <c r="K16" s="129"/>
      <c r="L16" s="129"/>
      <c r="M16" s="129"/>
      <c r="N16" s="129"/>
      <c r="O16" s="299">
        <f t="shared" si="1"/>
        <v>15174.99</v>
      </c>
      <c r="P16" s="286">
        <f t="shared" si="0"/>
        <v>3.6294308264230205E-2</v>
      </c>
    </row>
    <row r="17" spans="1:16" ht="18" customHeight="1" x14ac:dyDescent="0.2">
      <c r="A17" s="25">
        <v>13</v>
      </c>
      <c r="B17" s="26" t="s">
        <v>10</v>
      </c>
      <c r="C17" s="129">
        <v>3567.68</v>
      </c>
      <c r="D17" s="129">
        <v>5387.68</v>
      </c>
      <c r="E17" s="129">
        <v>6161.9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299">
        <f t="shared" si="1"/>
        <v>15117.26</v>
      </c>
      <c r="P17" s="286">
        <f t="shared" si="0"/>
        <v>3.6156234340221423E-2</v>
      </c>
    </row>
    <row r="18" spans="1:16" ht="18" customHeight="1" x14ac:dyDescent="0.2">
      <c r="A18" s="25">
        <v>14</v>
      </c>
      <c r="B18" s="26" t="s">
        <v>11</v>
      </c>
      <c r="C18" s="129">
        <v>2521.2199999999998</v>
      </c>
      <c r="D18" s="129">
        <v>5752.06</v>
      </c>
      <c r="E18" s="129">
        <v>2599.08</v>
      </c>
      <c r="F18" s="129"/>
      <c r="G18" s="129"/>
      <c r="H18" s="129"/>
      <c r="I18" s="129"/>
      <c r="J18" s="129"/>
      <c r="K18" s="129"/>
      <c r="L18" s="129"/>
      <c r="M18" s="129"/>
      <c r="N18" s="129"/>
      <c r="O18" s="299">
        <f t="shared" si="1"/>
        <v>10872.36</v>
      </c>
      <c r="P18" s="286">
        <f t="shared" si="0"/>
        <v>2.6003627376340009E-2</v>
      </c>
    </row>
    <row r="19" spans="1:16" ht="18" customHeight="1" x14ac:dyDescent="0.2">
      <c r="A19" s="25">
        <v>15</v>
      </c>
      <c r="B19" s="26" t="s">
        <v>12</v>
      </c>
      <c r="C19" s="129">
        <v>6424.28</v>
      </c>
      <c r="D19" s="129">
        <f>6693.19+4548.94</f>
        <v>11242.13</v>
      </c>
      <c r="E19" s="129">
        <v>6468.87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299">
        <f t="shared" si="1"/>
        <v>24135.279999999999</v>
      </c>
      <c r="P19" s="286">
        <f t="shared" si="0"/>
        <v>5.772480195133637E-2</v>
      </c>
    </row>
    <row r="20" spans="1:16" ht="18" customHeight="1" x14ac:dyDescent="0.2">
      <c r="A20" s="25">
        <v>16</v>
      </c>
      <c r="B20" s="128" t="s">
        <v>13</v>
      </c>
      <c r="C20" s="129">
        <v>3210.52</v>
      </c>
      <c r="D20" s="129">
        <v>548</v>
      </c>
      <c r="E20" s="129">
        <v>2642.5</v>
      </c>
      <c r="F20" s="129"/>
      <c r="G20" s="129"/>
      <c r="H20" s="129"/>
      <c r="I20" s="129"/>
      <c r="J20" s="129"/>
      <c r="K20" s="129"/>
      <c r="L20" s="129"/>
      <c r="M20" s="129"/>
      <c r="N20" s="129"/>
      <c r="O20" s="299">
        <f t="shared" si="1"/>
        <v>6401.02</v>
      </c>
      <c r="P20" s="286">
        <f t="shared" si="0"/>
        <v>1.5309439616467808E-2</v>
      </c>
    </row>
    <row r="21" spans="1:16" ht="18" customHeight="1" x14ac:dyDescent="0.2">
      <c r="A21" s="25">
        <v>17</v>
      </c>
      <c r="B21" s="26" t="s">
        <v>14</v>
      </c>
      <c r="C21" s="129">
        <v>3170.49</v>
      </c>
      <c r="D21" s="129">
        <v>21853.26</v>
      </c>
      <c r="E21" s="129">
        <v>5346.44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299">
        <f t="shared" si="1"/>
        <v>30370.19</v>
      </c>
      <c r="P21" s="286">
        <f t="shared" si="0"/>
        <v>7.2636953164597895E-2</v>
      </c>
    </row>
    <row r="22" spans="1:16" ht="18" customHeight="1" x14ac:dyDescent="0.2">
      <c r="A22" s="25">
        <v>18</v>
      </c>
      <c r="B22" s="26" t="s">
        <v>15</v>
      </c>
      <c r="C22" s="129">
        <f>7507.46+480-825-1300-1050</f>
        <v>4812.46</v>
      </c>
      <c r="D22" s="129">
        <v>6715.88</v>
      </c>
      <c r="E22" s="129">
        <v>3722.08</v>
      </c>
      <c r="F22" s="129"/>
      <c r="G22" s="129"/>
      <c r="H22" s="129"/>
      <c r="I22" s="129"/>
      <c r="J22" s="129"/>
      <c r="K22" s="129"/>
      <c r="L22" s="129"/>
      <c r="M22" s="129"/>
      <c r="N22" s="129"/>
      <c r="O22" s="299">
        <f t="shared" si="1"/>
        <v>15250.42</v>
      </c>
      <c r="P22" s="286">
        <f t="shared" si="0"/>
        <v>3.6474715610289137E-2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C5+C6+C7+C8+C9+C10+C11+C12+C13+C14+C15+C16+C17+C18+C19+C20+C21+C22</f>
        <v>74293.10000000002</v>
      </c>
      <c r="D23" s="154">
        <f>D5+D6+D7+D8+D9+D10+D11+D12+D13+D14+D15+D16+D17+D18+D19+D20+D21+D22</f>
        <v>260002.56</v>
      </c>
      <c r="E23" s="154">
        <f>E5+E6+E7+E8+E9+E10+E11+E12+E13+E14+E15+E16+E17+E18+E19+E20+E21+E22</f>
        <v>83813.7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>
        <f>SUM(O5:O22)</f>
        <v>418109.36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/>
      <c r="G24" s="130"/>
      <c r="H24" s="130"/>
      <c r="I24" s="130"/>
      <c r="J24" s="130"/>
      <c r="K24" s="130"/>
      <c r="L24" s="130"/>
      <c r="M24" s="130"/>
      <c r="N24" s="130"/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>
        <v>0</v>
      </c>
      <c r="D25" s="130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2">SUM(D24:D25)</f>
        <v>0</v>
      </c>
      <c r="E26" s="152">
        <f t="shared" si="2"/>
        <v>0</v>
      </c>
      <c r="F26" s="152">
        <f t="shared" si="2"/>
        <v>0</v>
      </c>
      <c r="G26" s="152">
        <f t="shared" si="2"/>
        <v>0</v>
      </c>
      <c r="H26" s="152">
        <f t="shared" si="2"/>
        <v>0</v>
      </c>
      <c r="I26" s="152">
        <f t="shared" si="2"/>
        <v>0</v>
      </c>
      <c r="J26" s="152">
        <f t="shared" si="2"/>
        <v>0</v>
      </c>
      <c r="K26" s="152">
        <f t="shared" si="2"/>
        <v>0</v>
      </c>
      <c r="L26" s="152">
        <f t="shared" si="2"/>
        <v>0</v>
      </c>
      <c r="M26" s="152">
        <f t="shared" si="2"/>
        <v>0</v>
      </c>
      <c r="N26" s="152">
        <f t="shared" si="2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74293.10000000002</v>
      </c>
      <c r="D27" s="208">
        <f t="shared" ref="D27:N27" si="3">D23+D26</f>
        <v>260002.56</v>
      </c>
      <c r="E27" s="208">
        <f t="shared" si="3"/>
        <v>83813.7</v>
      </c>
      <c r="F27" s="208">
        <f t="shared" si="3"/>
        <v>0</v>
      </c>
      <c r="G27" s="208">
        <f t="shared" si="3"/>
        <v>0</v>
      </c>
      <c r="H27" s="208">
        <f t="shared" si="3"/>
        <v>0</v>
      </c>
      <c r="I27" s="208">
        <f t="shared" si="3"/>
        <v>0</v>
      </c>
      <c r="J27" s="208">
        <f t="shared" si="3"/>
        <v>0</v>
      </c>
      <c r="K27" s="208">
        <f t="shared" si="3"/>
        <v>0</v>
      </c>
      <c r="L27" s="208">
        <f t="shared" si="3"/>
        <v>0</v>
      </c>
      <c r="M27" s="208">
        <f t="shared" si="3"/>
        <v>0</v>
      </c>
      <c r="N27" s="208">
        <f t="shared" si="3"/>
        <v>0</v>
      </c>
      <c r="O27" s="208">
        <f>O23</f>
        <v>418109.36</v>
      </c>
      <c r="P27" s="277">
        <f t="shared" si="0"/>
        <v>1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25/12/62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68046.86</v>
      </c>
      <c r="D5" s="192">
        <f>'1.ยาทั่วไป'!D5+'2.ยาแพทย์ PCC'!D5+'3.ยาเรื้อรัง 25%'!D5+'4.ยาเรื้อรังฟรี'!D5</f>
        <v>85315.39</v>
      </c>
      <c r="E5" s="192">
        <f>'1.ยาทั่วไป'!E5+'2.ยาแพทย์ PCC'!E5+'3.ยาเรื้อรัง 25%'!E5+'4.ยาเรื้อรังฟรี'!E5</f>
        <v>82865.459999999992</v>
      </c>
      <c r="F5" s="192">
        <f>'1.ยาทั่วไป'!F5+'2.ยาแพทย์ PCC'!F5+'3.ยาเรื้อรัง 25%'!F5+'4.ยาเรื้อรังฟรี'!F5</f>
        <v>0</v>
      </c>
      <c r="G5" s="192">
        <f>'1.ยาทั่วไป'!G5+'2.ยาแพทย์ PCC'!G5+'3.ยาเรื้อรัง 25%'!G5+'4.ยาเรื้อรังฟรี'!G5</f>
        <v>0</v>
      </c>
      <c r="H5" s="192">
        <f>'1.ยาทั่วไป'!H5+'2.ยาแพทย์ PCC'!H5+'3.ยาเรื้อรัง 25%'!H5+'4.ยาเรื้อรังฟรี'!H5</f>
        <v>0</v>
      </c>
      <c r="I5" s="192">
        <f>'1.ยาทั่วไป'!I5+'2.ยาแพทย์ PCC'!I5+'3.ยาเรื้อรัง 25%'!I5+'4.ยาเรื้อรังฟรี'!I5</f>
        <v>0</v>
      </c>
      <c r="J5" s="192">
        <f>'1.ยาทั่วไป'!J5+'2.ยาแพทย์ PCC'!J5+'3.ยาเรื้อรัง 25%'!J5+'4.ยาเรื้อรังฟรี'!J5</f>
        <v>0</v>
      </c>
      <c r="K5" s="192">
        <f>'1.ยาทั่วไป'!K5+'2.ยาแพทย์ PCC'!K5+'3.ยาเรื้อรัง 25%'!K5+'4.ยาเรื้อรังฟรี'!K5</f>
        <v>0</v>
      </c>
      <c r="L5" s="192">
        <f>'1.ยาทั่วไป'!L5+'2.ยาแพทย์ PCC'!L5+'3.ยาเรื้อรัง 25%'!L5+'4.ยาเรื้อรังฟรี'!L5</f>
        <v>0</v>
      </c>
      <c r="M5" s="192">
        <f>'1.ยาทั่วไป'!M5+'2.ยาแพทย์ PCC'!M5+'3.ยาเรื้อรัง 25%'!M5+'4.ยาเรื้อรังฟรี'!M5</f>
        <v>0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236227.71</v>
      </c>
      <c r="P5" s="313">
        <f t="shared" ref="P5:P27" si="0">O5/$O$23</f>
        <v>0.19505050439329036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37636.559999999998</v>
      </c>
      <c r="D6" s="192">
        <f>'1.ยาทั่วไป'!D6+'2.ยาแพทย์ PCC'!D6+'3.ยาเรื้อรัง 25%'!D6+'4.ยาเรื้อรังฟรี'!D6</f>
        <v>49001.85</v>
      </c>
      <c r="E6" s="192">
        <f>'1.ยาทั่วไป'!E6+'2.ยาแพทย์ PCC'!E6+'3.ยาเรื้อรัง 25%'!E6+'4.ยาเรื้อรังฟรี'!E6</f>
        <v>41573.300000000003</v>
      </c>
      <c r="F6" s="192">
        <f>'1.ยาทั่วไป'!F6+'2.ยาแพทย์ PCC'!F6+'3.ยาเรื้อรัง 25%'!F6+'4.ยาเรื้อรังฟรี'!F6</f>
        <v>0</v>
      </c>
      <c r="G6" s="192">
        <f>'1.ยาทั่วไป'!G6+'2.ยาแพทย์ PCC'!G6+'3.ยาเรื้อรัง 25%'!G6+'4.ยาเรื้อรังฟรี'!G6</f>
        <v>0</v>
      </c>
      <c r="H6" s="192">
        <f>'1.ยาทั่วไป'!H6+'2.ยาแพทย์ PCC'!H6+'3.ยาเรื้อรัง 25%'!H6+'4.ยาเรื้อรังฟรี'!H6</f>
        <v>0</v>
      </c>
      <c r="I6" s="192">
        <f>'1.ยาทั่วไป'!I6+'2.ยาแพทย์ PCC'!I6+'3.ยาเรื้อรัง 25%'!I6+'4.ยาเรื้อรังฟรี'!I6</f>
        <v>0</v>
      </c>
      <c r="J6" s="192">
        <f>'1.ยาทั่วไป'!J6+'2.ยาแพทย์ PCC'!J6+'3.ยาเรื้อรัง 25%'!J6+'4.ยาเรื้อรังฟรี'!J6</f>
        <v>0</v>
      </c>
      <c r="K6" s="192">
        <f>'1.ยาทั่วไป'!K6+'2.ยาแพทย์ PCC'!K6+'3.ยาเรื้อรัง 25%'!K6+'4.ยาเรื้อรังฟรี'!K6</f>
        <v>0</v>
      </c>
      <c r="L6" s="192">
        <f>'1.ยาทั่วไป'!L6+'2.ยาแพทย์ PCC'!L6+'3.ยาเรื้อรัง 25%'!L6+'4.ยาเรื้อรังฟรี'!L6</f>
        <v>0</v>
      </c>
      <c r="M6" s="192">
        <f>'1.ยาทั่วไป'!M6+'2.ยาแพทย์ PCC'!M6+'3.ยาเรื้อรัง 25%'!M6+'4.ยาเรื้อรังฟรี'!M6</f>
        <v>0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128211.71</v>
      </c>
      <c r="P6" s="313">
        <f t="shared" si="0"/>
        <v>0.10586293498178631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14656.35</v>
      </c>
      <c r="D7" s="192">
        <f>'1.ยาทั่วไป'!D7+'2.ยาแพทย์ PCC'!D7+'3.ยาเรื้อรัง 25%'!D7+'4.ยาเรื้อรังฟรี'!D7</f>
        <v>8607.119999999999</v>
      </c>
      <c r="E7" s="192">
        <f>'1.ยาทั่วไป'!E7+'2.ยาแพทย์ PCC'!E7+'3.ยาเรื้อรัง 25%'!E7+'4.ยาเรื้อรังฟรี'!E7</f>
        <v>29024.55</v>
      </c>
      <c r="F7" s="192">
        <f>'1.ยาทั่วไป'!F7+'2.ยาแพทย์ PCC'!F7+'3.ยาเรื้อรัง 25%'!F7+'4.ยาเรื้อรังฟรี'!F7</f>
        <v>0</v>
      </c>
      <c r="G7" s="192">
        <f>'1.ยาทั่วไป'!G7+'2.ยาแพทย์ PCC'!G7+'3.ยาเรื้อรัง 25%'!G7+'4.ยาเรื้อรังฟรี'!G7</f>
        <v>0</v>
      </c>
      <c r="H7" s="192">
        <f>'1.ยาทั่วไป'!H7+'2.ยาแพทย์ PCC'!H7+'3.ยาเรื้อรัง 25%'!H7+'4.ยาเรื้อรังฟรี'!H7</f>
        <v>0</v>
      </c>
      <c r="I7" s="192">
        <f>'1.ยาทั่วไป'!I7+'2.ยาแพทย์ PCC'!I7+'3.ยาเรื้อรัง 25%'!I7+'4.ยาเรื้อรังฟรี'!I7</f>
        <v>0</v>
      </c>
      <c r="J7" s="192">
        <f>'1.ยาทั่วไป'!J7+'2.ยาแพทย์ PCC'!J7+'3.ยาเรื้อรัง 25%'!J7+'4.ยาเรื้อรังฟรี'!J7</f>
        <v>0</v>
      </c>
      <c r="K7" s="192">
        <f>'1.ยาทั่วไป'!K7+'2.ยาแพทย์ PCC'!K7+'3.ยาเรื้อรัง 25%'!K7+'4.ยาเรื้อรังฟรี'!K7</f>
        <v>0</v>
      </c>
      <c r="L7" s="192">
        <f>'1.ยาทั่วไป'!L7+'2.ยาแพทย์ PCC'!L7+'3.ยาเรื้อรัง 25%'!L7+'4.ยาเรื้อรังฟรี'!L7</f>
        <v>0</v>
      </c>
      <c r="M7" s="192">
        <f>'1.ยาทั่วไป'!M7+'2.ยาแพทย์ PCC'!M7+'3.ยาเรื้อรัง 25%'!M7+'4.ยาเรื้อรังฟรี'!M7</f>
        <v>0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52288.020000000004</v>
      </c>
      <c r="P7" s="313">
        <f t="shared" si="0"/>
        <v>4.3173616993224272E-2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12633.43</v>
      </c>
      <c r="D8" s="192">
        <f>'1.ยาทั่วไป'!D8+'2.ยาแพทย์ PCC'!D8+'3.ยาเรื้อรัง 25%'!D8+'4.ยาเรื้อรังฟรี'!D8</f>
        <v>65062</v>
      </c>
      <c r="E8" s="192">
        <f>'1.ยาทั่วไป'!E8+'2.ยาแพทย์ PCC'!E8+'3.ยาเรื้อรัง 25%'!E8+'4.ยาเรื้อรังฟรี'!E8</f>
        <v>46045.13</v>
      </c>
      <c r="F8" s="192">
        <f>'1.ยาทั่วไป'!F8+'2.ยาแพทย์ PCC'!F8+'3.ยาเรื้อรัง 25%'!F8+'4.ยาเรื้อรังฟรี'!F8</f>
        <v>0</v>
      </c>
      <c r="G8" s="192">
        <f>'1.ยาทั่วไป'!G8+'2.ยาแพทย์ PCC'!G8+'3.ยาเรื้อรัง 25%'!G8+'4.ยาเรื้อรังฟรี'!G8</f>
        <v>0</v>
      </c>
      <c r="H8" s="192">
        <f>'1.ยาทั่วไป'!H8+'2.ยาแพทย์ PCC'!H8+'3.ยาเรื้อรัง 25%'!H8+'4.ยาเรื้อรังฟรี'!H8</f>
        <v>0</v>
      </c>
      <c r="I8" s="192">
        <f>'1.ยาทั่วไป'!I8+'2.ยาแพทย์ PCC'!I8+'3.ยาเรื้อรัง 25%'!I8+'4.ยาเรื้อรังฟรี'!I8</f>
        <v>0</v>
      </c>
      <c r="J8" s="192">
        <f>'1.ยาทั่วไป'!J8+'2.ยาแพทย์ PCC'!J8+'3.ยาเรื้อรัง 25%'!J8+'4.ยาเรื้อรังฟรี'!J8</f>
        <v>0</v>
      </c>
      <c r="K8" s="192">
        <f>'1.ยาทั่วไป'!K8+'2.ยาแพทย์ PCC'!K8+'3.ยาเรื้อรัง 25%'!K8+'4.ยาเรื้อรังฟรี'!K8</f>
        <v>0</v>
      </c>
      <c r="L8" s="192">
        <f>'1.ยาทั่วไป'!L8+'2.ยาแพทย์ PCC'!L8+'3.ยาเรื้อรัง 25%'!L8+'4.ยาเรื้อรังฟรี'!L8</f>
        <v>0</v>
      </c>
      <c r="M8" s="192">
        <f>'1.ยาทั่วไป'!M8+'2.ยาแพทย์ PCC'!M8+'3.ยาเรื้อรัง 25%'!M8+'4.ยาเรื้อรังฟรี'!M8</f>
        <v>0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123740.56</v>
      </c>
      <c r="P8" s="313">
        <f t="shared" si="0"/>
        <v>0.10217115782864004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40436.75</v>
      </c>
      <c r="D9" s="192">
        <f>'1.ยาทั่วไป'!D9+'2.ยาแพทย์ PCC'!D9+'3.ยาเรื้อรัง 25%'!D9+'4.ยาเรื้อรังฟรี'!D9</f>
        <v>11278</v>
      </c>
      <c r="E9" s="192">
        <f>'1.ยาทั่วไป'!E9+'2.ยาแพทย์ PCC'!E9+'3.ยาเรื้อรัง 25%'!E9+'4.ยาเรื้อรังฟรี'!E9</f>
        <v>30651.85</v>
      </c>
      <c r="F9" s="192">
        <f>'1.ยาทั่วไป'!F9+'2.ยาแพทย์ PCC'!F9+'3.ยาเรื้อรัง 25%'!F9+'4.ยาเรื้อรังฟรี'!F9</f>
        <v>0</v>
      </c>
      <c r="G9" s="192">
        <f>'1.ยาทั่วไป'!G9+'2.ยาแพทย์ PCC'!G9+'3.ยาเรื้อรัง 25%'!G9+'4.ยาเรื้อรังฟรี'!G9</f>
        <v>0</v>
      </c>
      <c r="H9" s="192">
        <f>'1.ยาทั่วไป'!H9+'2.ยาแพทย์ PCC'!H9+'3.ยาเรื้อรัง 25%'!H9+'4.ยาเรื้อรังฟรี'!H9</f>
        <v>0</v>
      </c>
      <c r="I9" s="192">
        <f>'1.ยาทั่วไป'!I9+'2.ยาแพทย์ PCC'!I9+'3.ยาเรื้อรัง 25%'!I9+'4.ยาเรื้อรังฟรี'!I9</f>
        <v>0</v>
      </c>
      <c r="J9" s="192">
        <f>'1.ยาทั่วไป'!J9+'2.ยาแพทย์ PCC'!J9+'3.ยาเรื้อรัง 25%'!J9+'4.ยาเรื้อรังฟรี'!J9</f>
        <v>0</v>
      </c>
      <c r="K9" s="192">
        <f>'1.ยาทั่วไป'!K9+'2.ยาแพทย์ PCC'!K9+'3.ยาเรื้อรัง 25%'!K9+'4.ยาเรื้อรังฟรี'!K9</f>
        <v>0</v>
      </c>
      <c r="L9" s="192">
        <f>'1.ยาทั่วไป'!L9+'2.ยาแพทย์ PCC'!L9+'3.ยาเรื้อรัง 25%'!L9+'4.ยาเรื้อรังฟรี'!L9</f>
        <v>0</v>
      </c>
      <c r="M9" s="192">
        <f>'1.ยาทั่วไป'!M9+'2.ยาแพทย์ PCC'!M9+'3.ยาเรื้อรัง 25%'!M9+'4.ยาเรื้อรังฟรี'!M9</f>
        <v>0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82366.600000000006</v>
      </c>
      <c r="P9" s="313">
        <f t="shared" si="0"/>
        <v>6.8009154705687969E-2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19348.830000000002</v>
      </c>
      <c r="D10" s="192">
        <f>'1.ยาทั่วไป'!D10+'2.ยาแพทย์ PCC'!D10+'3.ยาเรื้อรัง 25%'!D10+'4.ยาเรื้อรังฟรี'!D10</f>
        <v>6681</v>
      </c>
      <c r="E10" s="192">
        <f>'1.ยาทั่วไป'!E10+'2.ยาแพทย์ PCC'!E10+'3.ยาเรื้อรัง 25%'!E10+'4.ยาเรื้อรังฟรี'!E10</f>
        <v>19983.18</v>
      </c>
      <c r="F10" s="192">
        <f>'1.ยาทั่วไป'!F10+'2.ยาแพทย์ PCC'!F10+'3.ยาเรื้อรัง 25%'!F10+'4.ยาเรื้อรังฟรี'!F10</f>
        <v>0</v>
      </c>
      <c r="G10" s="192">
        <f>'1.ยาทั่วไป'!G10+'2.ยาแพทย์ PCC'!G10+'3.ยาเรื้อรัง 25%'!G10+'4.ยาเรื้อรังฟรี'!G10</f>
        <v>0</v>
      </c>
      <c r="H10" s="192">
        <f>'1.ยาทั่วไป'!H10+'2.ยาแพทย์ PCC'!H10+'3.ยาเรื้อรัง 25%'!H10+'4.ยาเรื้อรังฟรี'!H10</f>
        <v>0</v>
      </c>
      <c r="I10" s="192">
        <f>'1.ยาทั่วไป'!I10+'2.ยาแพทย์ PCC'!I10+'3.ยาเรื้อรัง 25%'!I10+'4.ยาเรื้อรังฟรี'!I10</f>
        <v>0</v>
      </c>
      <c r="J10" s="192">
        <f>'1.ยาทั่วไป'!J10+'2.ยาแพทย์ PCC'!J10+'3.ยาเรื้อรัง 25%'!J10+'4.ยาเรื้อรังฟรี'!J10</f>
        <v>0</v>
      </c>
      <c r="K10" s="192">
        <f>'1.ยาทั่วไป'!K10+'2.ยาแพทย์ PCC'!K10+'3.ยาเรื้อรัง 25%'!K10+'4.ยาเรื้อรังฟรี'!K10</f>
        <v>0</v>
      </c>
      <c r="L10" s="192">
        <f>'1.ยาทั่วไป'!L10+'2.ยาแพทย์ PCC'!L10+'3.ยาเรื้อรัง 25%'!L10+'4.ยาเรื้อรังฟรี'!L10</f>
        <v>0</v>
      </c>
      <c r="M10" s="192">
        <f>'1.ยาทั่วไป'!M10+'2.ยาแพทย์ PCC'!M10+'3.ยาเรื้อรัง 25%'!M10+'4.ยาเรื้อรังฟรี'!M10</f>
        <v>0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46013.01</v>
      </c>
      <c r="P10" s="313">
        <f t="shared" si="0"/>
        <v>3.7992413375863121E-2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32394.3</v>
      </c>
      <c r="D11" s="192">
        <f>'1.ยาทั่วไป'!D11+'2.ยาแพทย์ PCC'!D11+'3.ยาเรื้อรัง 25%'!D11+'4.ยาเรื้อรังฟรี'!D11</f>
        <v>12196.66</v>
      </c>
      <c r="E11" s="192">
        <f>'1.ยาทั่วไป'!E11+'2.ยาแพทย์ PCC'!E11+'3.ยาเรื้อรัง 25%'!E11+'4.ยาเรื้อรังฟรี'!E11</f>
        <v>27844.98</v>
      </c>
      <c r="F11" s="192">
        <f>'1.ยาทั่วไป'!F11+'2.ยาแพทย์ PCC'!F11+'3.ยาเรื้อรัง 25%'!F11+'4.ยาเรื้อรังฟรี'!F11</f>
        <v>0</v>
      </c>
      <c r="G11" s="192">
        <f>'1.ยาทั่วไป'!G11+'2.ยาแพทย์ PCC'!G11+'3.ยาเรื้อรัง 25%'!G11+'4.ยาเรื้อรังฟรี'!G11</f>
        <v>0</v>
      </c>
      <c r="H11" s="192">
        <f>'1.ยาทั่วไป'!H11+'2.ยาแพทย์ PCC'!H11+'3.ยาเรื้อรัง 25%'!H11+'4.ยาเรื้อรังฟรี'!H11</f>
        <v>0</v>
      </c>
      <c r="I11" s="192">
        <f>'1.ยาทั่วไป'!I11+'2.ยาแพทย์ PCC'!I11+'3.ยาเรื้อรัง 25%'!I11+'4.ยาเรื้อรังฟรี'!I11</f>
        <v>0</v>
      </c>
      <c r="J11" s="192">
        <f>'1.ยาทั่วไป'!J11+'2.ยาแพทย์ PCC'!J11+'3.ยาเรื้อรัง 25%'!J11+'4.ยาเรื้อรังฟรี'!J11</f>
        <v>0</v>
      </c>
      <c r="K11" s="192">
        <f>'1.ยาทั่วไป'!K11+'2.ยาแพทย์ PCC'!K11+'3.ยาเรื้อรัง 25%'!K11+'4.ยาเรื้อรังฟรี'!K11</f>
        <v>0</v>
      </c>
      <c r="L11" s="192">
        <f>'1.ยาทั่วไป'!L11+'2.ยาแพทย์ PCC'!L11+'3.ยาเรื้อรัง 25%'!L11+'4.ยาเรื้อรังฟรี'!L11</f>
        <v>0</v>
      </c>
      <c r="M11" s="192">
        <f>'1.ยาทั่วไป'!M11+'2.ยาแพทย์ PCC'!M11+'3.ยาเรื้อรัง 25%'!M11+'4.ยาเรื้อรังฟรี'!M11</f>
        <v>0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72435.94</v>
      </c>
      <c r="P11" s="313">
        <f t="shared" si="0"/>
        <v>5.9809522909916528E-2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6538.2199999999993</v>
      </c>
      <c r="D12" s="192">
        <f>'1.ยาทั่วไป'!D12+'2.ยาแพทย์ PCC'!D12+'3.ยาเรื้อรัง 25%'!D12+'4.ยาเรื้อรังฟรี'!D12</f>
        <v>46192</v>
      </c>
      <c r="E12" s="192">
        <f>'1.ยาทั่วไป'!E12+'2.ยาแพทย์ PCC'!E12+'3.ยาเรื้อรัง 25%'!E12+'4.ยาเรื้อรังฟรี'!E12</f>
        <v>36051.32</v>
      </c>
      <c r="F12" s="192">
        <f>'1.ยาทั่วไป'!F12+'2.ยาแพทย์ PCC'!F12+'3.ยาเรื้อรัง 25%'!F12+'4.ยาเรื้อรังฟรี'!F12</f>
        <v>0</v>
      </c>
      <c r="G12" s="192">
        <f>'1.ยาทั่วไป'!G12+'2.ยาแพทย์ PCC'!G12+'3.ยาเรื้อรัง 25%'!G12+'4.ยาเรื้อรังฟรี'!G12</f>
        <v>0</v>
      </c>
      <c r="H12" s="192">
        <f>'1.ยาทั่วไป'!H12+'2.ยาแพทย์ PCC'!H12+'3.ยาเรื้อรัง 25%'!H12+'4.ยาเรื้อรังฟรี'!H12</f>
        <v>0</v>
      </c>
      <c r="I12" s="192">
        <f>'1.ยาทั่วไป'!I12+'2.ยาแพทย์ PCC'!I12+'3.ยาเรื้อรัง 25%'!I12+'4.ยาเรื้อรังฟรี'!I12</f>
        <v>0</v>
      </c>
      <c r="J12" s="192">
        <f>'1.ยาทั่วไป'!J12+'2.ยาแพทย์ PCC'!J12+'3.ยาเรื้อรัง 25%'!J12+'4.ยาเรื้อรังฟรี'!J12</f>
        <v>0</v>
      </c>
      <c r="K12" s="192">
        <f>'1.ยาทั่วไป'!K12+'2.ยาแพทย์ PCC'!K12+'3.ยาเรื้อรัง 25%'!K12+'4.ยาเรื้อรังฟรี'!K12</f>
        <v>0</v>
      </c>
      <c r="L12" s="192">
        <f>'1.ยาทั่วไป'!L12+'2.ยาแพทย์ PCC'!L12+'3.ยาเรื้อรัง 25%'!L12+'4.ยาเรื้อรังฟรี'!L12</f>
        <v>0</v>
      </c>
      <c r="M12" s="192">
        <f>'1.ยาทั่วไป'!M12+'2.ยาแพทย์ PCC'!M12+'3.ยาเรื้อรัง 25%'!M12+'4.ยาเรื้อรังฟรี'!M12</f>
        <v>0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88781.540000000008</v>
      </c>
      <c r="P12" s="313">
        <f t="shared" si="0"/>
        <v>7.3305896915366472E-2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14973.64</v>
      </c>
      <c r="D13" s="192">
        <f>'1.ยาทั่วไป'!D13+'2.ยาแพทย์ PCC'!D13+'3.ยาเรื้อรัง 25%'!D13+'4.ยาเรื้อรังฟรี'!D13</f>
        <v>4829.8100000000004</v>
      </c>
      <c r="E13" s="192">
        <f>'1.ยาทั่วไป'!E13+'2.ยาแพทย์ PCC'!E13+'3.ยาเรื้อรัง 25%'!E13+'4.ยาเรื้อรังฟรี'!E13</f>
        <v>11912.8</v>
      </c>
      <c r="F13" s="192">
        <f>'1.ยาทั่วไป'!F13+'2.ยาแพทย์ PCC'!F13+'3.ยาเรื้อรัง 25%'!F13+'4.ยาเรื้อรังฟรี'!F13</f>
        <v>0</v>
      </c>
      <c r="G13" s="192">
        <f>'1.ยาทั่วไป'!G13+'2.ยาแพทย์ PCC'!G13+'3.ยาเรื้อรัง 25%'!G13+'4.ยาเรื้อรังฟรี'!G13</f>
        <v>0</v>
      </c>
      <c r="H13" s="192">
        <f>'1.ยาทั่วไป'!H13+'2.ยาแพทย์ PCC'!H13+'3.ยาเรื้อรัง 25%'!H13+'4.ยาเรื้อรังฟรี'!H13</f>
        <v>0</v>
      </c>
      <c r="I13" s="192">
        <f>'1.ยาทั่วไป'!I13+'2.ยาแพทย์ PCC'!I13+'3.ยาเรื้อรัง 25%'!I13+'4.ยาเรื้อรังฟรี'!I13</f>
        <v>0</v>
      </c>
      <c r="J13" s="192">
        <f>'1.ยาทั่วไป'!J13+'2.ยาแพทย์ PCC'!J13+'3.ยาเรื้อรัง 25%'!J13+'4.ยาเรื้อรังฟรี'!J13</f>
        <v>0</v>
      </c>
      <c r="K13" s="192">
        <f>'1.ยาทั่วไป'!K13+'2.ยาแพทย์ PCC'!K13+'3.ยาเรื้อรัง 25%'!K13+'4.ยาเรื้อรังฟรี'!K13</f>
        <v>0</v>
      </c>
      <c r="L13" s="192">
        <f>'1.ยาทั่วไป'!L13+'2.ยาแพทย์ PCC'!L13+'3.ยาเรื้อรัง 25%'!L13+'4.ยาเรื้อรังฟรี'!L13</f>
        <v>0</v>
      </c>
      <c r="M13" s="192">
        <f>'1.ยาทั่วไป'!M13+'2.ยาแพทย์ PCC'!M13+'3.ยาเรื้อรัง 25%'!M13+'4.ยาเรื้อรังฟรี'!M13</f>
        <v>0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31716.25</v>
      </c>
      <c r="P13" s="313">
        <f t="shared" si="0"/>
        <v>2.6187743004255071E-2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3855</v>
      </c>
      <c r="D14" s="192">
        <f>'1.ยาทั่วไป'!D14+'2.ยาแพทย์ PCC'!D14+'3.ยาเรื้อรัง 25%'!D14+'4.ยาเรื้อรังฟรี'!D14</f>
        <v>6398</v>
      </c>
      <c r="E14" s="192">
        <f>'1.ยาทั่วไป'!E14+'2.ยาแพทย์ PCC'!E14+'3.ยาเรื้อรัง 25%'!E14+'4.ยาเรื้อรังฟรี'!E14</f>
        <v>6617</v>
      </c>
      <c r="F14" s="192">
        <f>'1.ยาทั่วไป'!F14+'2.ยาแพทย์ PCC'!F14+'3.ยาเรื้อรัง 25%'!F14+'4.ยาเรื้อรังฟรี'!F14</f>
        <v>0</v>
      </c>
      <c r="G14" s="192">
        <f>'1.ยาทั่วไป'!G14+'2.ยาแพทย์ PCC'!G14+'3.ยาเรื้อรัง 25%'!G14+'4.ยาเรื้อรังฟรี'!G14</f>
        <v>0</v>
      </c>
      <c r="H14" s="192">
        <f>'1.ยาทั่วไป'!H14+'2.ยาแพทย์ PCC'!H14+'3.ยาเรื้อรัง 25%'!H14+'4.ยาเรื้อรังฟรี'!H14</f>
        <v>0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0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0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16870</v>
      </c>
      <c r="P14" s="313">
        <f t="shared" si="0"/>
        <v>1.3929365056770048E-2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30361.32</v>
      </c>
      <c r="D15" s="192">
        <f>'1.ยาทั่วไป'!D15+'2.ยาแพทย์ PCC'!D15+'3.ยาเรื้อรัง 25%'!D15+'4.ยาเรื้อรังฟรี'!D15</f>
        <v>23038.16</v>
      </c>
      <c r="E15" s="192">
        <f>'1.ยาทั่วไป'!E15+'2.ยาแพทย์ PCC'!E15+'3.ยาเรื้อรัง 25%'!E15+'4.ยาเรื้อรังฟรี'!E15</f>
        <v>17270.12</v>
      </c>
      <c r="F15" s="192">
        <f>'1.ยาทั่วไป'!F15+'2.ยาแพทย์ PCC'!F15+'3.ยาเรื้อรัง 25%'!F15+'4.ยาเรื้อรังฟรี'!F15</f>
        <v>0</v>
      </c>
      <c r="G15" s="192">
        <f>'1.ยาทั่วไป'!G15+'2.ยาแพทย์ PCC'!G15+'3.ยาเรื้อรัง 25%'!G15+'4.ยาเรื้อรังฟรี'!G15</f>
        <v>0</v>
      </c>
      <c r="H15" s="192">
        <f>'1.ยาทั่วไป'!H15+'2.ยาแพทย์ PCC'!H15+'3.ยาเรื้อรัง 25%'!H15+'4.ยาเรื้อรังฟรี'!H15</f>
        <v>0</v>
      </c>
      <c r="I15" s="192">
        <f>'1.ยาทั่วไป'!I15+'2.ยาแพทย์ PCC'!I15+'3.ยาเรื้อรัง 25%'!I15+'4.ยาเรื้อรังฟรี'!I15</f>
        <v>0</v>
      </c>
      <c r="J15" s="192">
        <f>'1.ยาทั่วไป'!J15+'2.ยาแพทย์ PCC'!J15+'3.ยาเรื้อรัง 25%'!J15+'4.ยาเรื้อรังฟรี'!J15</f>
        <v>0</v>
      </c>
      <c r="K15" s="192">
        <f>'1.ยาทั่วไป'!K15+'2.ยาแพทย์ PCC'!K15+'3.ยาเรื้อรัง 25%'!K15+'4.ยาเรื้อรังฟรี'!K15</f>
        <v>0</v>
      </c>
      <c r="L15" s="192">
        <f>'1.ยาทั่วไป'!L15+'2.ยาแพทย์ PCC'!L15+'3.ยาเรื้อรัง 25%'!L15+'4.ยาเรื้อรังฟรี'!L15</f>
        <v>0</v>
      </c>
      <c r="M15" s="192">
        <f>'1.ยาทั่วไป'!M15+'2.ยาแพทย์ PCC'!M15+'3.ยาเรื้อรัง 25%'!M15+'4.ยาเรื้อรังฟรี'!M15</f>
        <v>0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70669.599999999991</v>
      </c>
      <c r="P15" s="313">
        <f t="shared" si="0"/>
        <v>5.8351076278359011E-2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5463.99</v>
      </c>
      <c r="D16" s="192">
        <f>'1.ยาทั่วไป'!D16+'2.ยาแพทย์ PCC'!D16+'3.ยาเรื้อรัง 25%'!D16+'4.ยาเรื้อรังฟรี'!D16</f>
        <v>11213.29</v>
      </c>
      <c r="E16" s="192">
        <f>'1.ยาทั่วไป'!E16+'2.ยาแพทย์ PCC'!E16+'3.ยาเรื้อรัง 25%'!E16+'4.ยาเรื้อรังฟรี'!E16</f>
        <v>11784.380000000001</v>
      </c>
      <c r="F16" s="192">
        <f>'1.ยาทั่วไป'!F16+'2.ยาแพทย์ PCC'!F16+'3.ยาเรื้อรัง 25%'!F16+'4.ยาเรื้อรังฟรี'!F16</f>
        <v>0</v>
      </c>
      <c r="G16" s="192">
        <f>'1.ยาทั่วไป'!G16+'2.ยาแพทย์ PCC'!G16+'3.ยาเรื้อรัง 25%'!G16+'4.ยาเรื้อรังฟรี'!G16</f>
        <v>0</v>
      </c>
      <c r="H16" s="192">
        <f>'1.ยาทั่วไป'!H16+'2.ยาแพทย์ PCC'!H16+'3.ยาเรื้อรัง 25%'!H16+'4.ยาเรื้อรังฟรี'!H16</f>
        <v>0</v>
      </c>
      <c r="I16" s="192">
        <f>'1.ยาทั่วไป'!I16+'2.ยาแพทย์ PCC'!I16+'3.ยาเรื้อรัง 25%'!I16+'4.ยาเรื้อรังฟรี'!I16</f>
        <v>0</v>
      </c>
      <c r="J16" s="192">
        <f>'1.ยาทั่วไป'!J16+'2.ยาแพทย์ PCC'!J16+'3.ยาเรื้อรัง 25%'!J16+'4.ยาเรื้อรังฟรี'!J16</f>
        <v>0</v>
      </c>
      <c r="K16" s="192">
        <f>'1.ยาทั่วไป'!K16+'2.ยาแพทย์ PCC'!K16+'3.ยาเรื้อรัง 25%'!K16+'4.ยาเรื้อรังฟรี'!K16</f>
        <v>0</v>
      </c>
      <c r="L16" s="192">
        <f>'1.ยาทั่วไป'!L16+'2.ยาแพทย์ PCC'!L16+'3.ยาเรื้อรัง 25%'!L16+'4.ยาเรื้อรังฟรี'!L16</f>
        <v>0</v>
      </c>
      <c r="M16" s="192">
        <f>'1.ยาทั่วไป'!M16+'2.ยาแพทย์ PCC'!M16+'3.ยาเรื้อรัง 25%'!M16+'4.ยาเรื้อรังฟรี'!M16</f>
        <v>0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28461.66</v>
      </c>
      <c r="P16" s="313">
        <f t="shared" si="0"/>
        <v>2.3500465457123285E-2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13195.79</v>
      </c>
      <c r="D17" s="192">
        <f>'1.ยาทั่วไป'!D17+'2.ยาแพทย์ PCC'!D17+'3.ยาเรื้อรัง 25%'!D17+'4.ยาเรื้อรังฟรี'!D17</f>
        <v>8465</v>
      </c>
      <c r="E17" s="192">
        <f>'1.ยาทั่วไป'!E17+'2.ยาแพทย์ PCC'!E17+'3.ยาเรื้อรัง 25%'!E17+'4.ยาเรื้อรังฟรี'!E17</f>
        <v>15226</v>
      </c>
      <c r="F17" s="192">
        <f>'1.ยาทั่วไป'!F17+'2.ยาแพทย์ PCC'!F17+'3.ยาเรื้อรัง 25%'!F17+'4.ยาเรื้อรังฟรี'!F17</f>
        <v>0</v>
      </c>
      <c r="G17" s="192">
        <f>'1.ยาทั่วไป'!G17+'2.ยาแพทย์ PCC'!G17+'3.ยาเรื้อรัง 25%'!G17+'4.ยาเรื้อรังฟรี'!G17</f>
        <v>0</v>
      </c>
      <c r="H17" s="192">
        <f>'1.ยาทั่วไป'!H17+'2.ยาแพทย์ PCC'!H17+'3.ยาเรื้อรัง 25%'!H17+'4.ยาเรื้อรังฟรี'!H17</f>
        <v>0</v>
      </c>
      <c r="I17" s="192">
        <f>'1.ยาทั่วไป'!I17+'2.ยาแพทย์ PCC'!I17+'3.ยาเรื้อรัง 25%'!I17+'4.ยาเรื้อรังฟรี'!I17</f>
        <v>0</v>
      </c>
      <c r="J17" s="192">
        <f>'1.ยาทั่วไป'!J17+'2.ยาแพทย์ PCC'!J17+'3.ยาเรื้อรัง 25%'!J17+'4.ยาเรื้อรังฟรี'!J17</f>
        <v>0</v>
      </c>
      <c r="K17" s="192">
        <f>'1.ยาทั่วไป'!K17+'2.ยาแพทย์ PCC'!K17+'3.ยาเรื้อรัง 25%'!K17+'4.ยาเรื้อรังฟรี'!K17</f>
        <v>0</v>
      </c>
      <c r="L17" s="192">
        <f>'1.ยาทั่วไป'!L17+'2.ยาแพทย์ PCC'!L17+'3.ยาเรื้อรัง 25%'!L17+'4.ยาเรื้อรังฟรี'!L17</f>
        <v>0</v>
      </c>
      <c r="M17" s="192">
        <f>'1.ยาทั่วไป'!M17+'2.ยาแพทย์ PCC'!M17+'3.ยาเรื้อรัง 25%'!M17+'4.ยาเรื้อรังฟรี'!M17</f>
        <v>0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36886.79</v>
      </c>
      <c r="P17" s="313">
        <f t="shared" si="0"/>
        <v>3.0456998439977168E-2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2996.92</v>
      </c>
      <c r="D18" s="192">
        <f>'1.ยาทั่วไป'!D18+'2.ยาแพทย์ PCC'!D18+'3.ยาเรื้อรัง 25%'!D18+'4.ยาเรื้อรังฟรี'!D18</f>
        <v>5124.78</v>
      </c>
      <c r="E18" s="192">
        <f>'1.ยาทั่วไป'!E18+'2.ยาแพทย์ PCC'!E18+'3.ยาเรื้อรัง 25%'!E18+'4.ยาเรื้อรังฟรี'!E18</f>
        <v>16166.35</v>
      </c>
      <c r="F18" s="192">
        <f>'1.ยาทั่วไป'!F18+'2.ยาแพทย์ PCC'!F18+'3.ยาเรื้อรัง 25%'!F18+'4.ยาเรื้อรังฟรี'!F18</f>
        <v>0</v>
      </c>
      <c r="G18" s="192">
        <f>'1.ยาทั่วไป'!G18+'2.ยาแพทย์ PCC'!G18+'3.ยาเรื้อรัง 25%'!G18+'4.ยาเรื้อรังฟรี'!G18</f>
        <v>0</v>
      </c>
      <c r="H18" s="192">
        <f>'1.ยาทั่วไป'!H18+'2.ยาแพทย์ PCC'!H18+'3.ยาเรื้อรัง 25%'!H18+'4.ยาเรื้อรังฟรี'!H18</f>
        <v>0</v>
      </c>
      <c r="I18" s="192">
        <f>'1.ยาทั่วไป'!I18+'2.ยาแพทย์ PCC'!I18+'3.ยาเรื้อรัง 25%'!I18+'4.ยาเรื้อรังฟรี'!I18</f>
        <v>0</v>
      </c>
      <c r="J18" s="192">
        <f>'1.ยาทั่วไป'!J18+'2.ยาแพทย์ PCC'!J18+'3.ยาเรื้อรัง 25%'!J18+'4.ยาเรื้อรังฟรี'!J18</f>
        <v>0</v>
      </c>
      <c r="K18" s="192">
        <f>'1.ยาทั่วไป'!K18+'2.ยาแพทย์ PCC'!K18+'3.ยาเรื้อรัง 25%'!K18+'4.ยาเรื้อรังฟรี'!K18</f>
        <v>0</v>
      </c>
      <c r="L18" s="192">
        <f>'1.ยาทั่วไป'!L18+'2.ยาแพทย์ PCC'!L18+'3.ยาเรื้อรัง 25%'!L18+'4.ยาเรื้อรังฟรี'!L18</f>
        <v>0</v>
      </c>
      <c r="M18" s="192">
        <f>'1.ยาทั่วไป'!M18+'2.ยาแพทย์ PCC'!M18+'3.ยาเรื้อรัง 25%'!M18+'4.ยาเรื้อรังฟรี'!M18</f>
        <v>0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24288.05</v>
      </c>
      <c r="P18" s="313">
        <f t="shared" si="0"/>
        <v>2.0054363661356475E-2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12441.12</v>
      </c>
      <c r="D19" s="192">
        <f>'1.ยาทั่วไป'!D19+'2.ยาแพทย์ PCC'!D19+'3.ยาเรื้อรัง 25%'!D19+'4.ยาเรื้อรังฟรี'!D19</f>
        <v>17728.82</v>
      </c>
      <c r="E19" s="192">
        <f>'1.ยาทั่วไป'!E19+'2.ยาแพทย์ PCC'!E19+'3.ยาเรื้อรัง 25%'!E19+'4.ยาเรื้อรังฟรี'!E19</f>
        <v>17978.34</v>
      </c>
      <c r="F19" s="192">
        <f>'1.ยาทั่วไป'!F19+'2.ยาแพทย์ PCC'!F19+'3.ยาเรื้อรัง 25%'!F19+'4.ยาเรื้อรังฟรี'!F19</f>
        <v>0</v>
      </c>
      <c r="G19" s="192">
        <f>'1.ยาทั่วไป'!G19+'2.ยาแพทย์ PCC'!G19+'3.ยาเรื้อรัง 25%'!G19+'4.ยาเรื้อรังฟรี'!G19</f>
        <v>0</v>
      </c>
      <c r="H19" s="192">
        <f>'1.ยาทั่วไป'!H19+'2.ยาแพทย์ PCC'!H19+'3.ยาเรื้อรัง 25%'!H19+'4.ยาเรื้อรังฟรี'!H19</f>
        <v>0</v>
      </c>
      <c r="I19" s="192">
        <f>'1.ยาทั่วไป'!I19+'2.ยาแพทย์ PCC'!I19+'3.ยาเรื้อรัง 25%'!I19+'4.ยาเรื้อรังฟรี'!I19</f>
        <v>0</v>
      </c>
      <c r="J19" s="192">
        <f>'1.ยาทั่วไป'!J19+'2.ยาแพทย์ PCC'!J19+'3.ยาเรื้อรัง 25%'!J19+'4.ยาเรื้อรังฟรี'!J19</f>
        <v>0</v>
      </c>
      <c r="K19" s="192">
        <f>'1.ยาทั่วไป'!K19+'2.ยาแพทย์ PCC'!K19+'3.ยาเรื้อรัง 25%'!K19+'4.ยาเรื้อรังฟรี'!K19</f>
        <v>0</v>
      </c>
      <c r="L19" s="192">
        <f>'1.ยาทั่วไป'!L19+'2.ยาแพทย์ PCC'!L19+'3.ยาเรื้อรัง 25%'!L19+'4.ยาเรื้อรังฟรี'!L19</f>
        <v>0</v>
      </c>
      <c r="M19" s="192">
        <f>'1.ยาทั่วไป'!M19+'2.ยาแพทย์ PCC'!M19+'3.ยาเรื้อรัง 25%'!M19+'4.ยาเรื้อรังฟรี'!M19</f>
        <v>0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48148.28</v>
      </c>
      <c r="P19" s="313">
        <f t="shared" si="0"/>
        <v>3.9755481267076474E-2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14468.26</v>
      </c>
      <c r="E20" s="192">
        <f>'1.ยาทั่วไป'!E20+'2.ยาแพทย์ PCC'!E20+'3.ยาเรื้อรัง 25%'!E20+'4.ยาเรื้อรังฟรี'!E20</f>
        <v>16194.1</v>
      </c>
      <c r="F20" s="192">
        <f>'1.ยาทั่วไป'!F20+'2.ยาแพทย์ PCC'!F20+'3.ยาเรื้อรัง 25%'!F20+'4.ยาเรื้อรังฟรี'!F20</f>
        <v>0</v>
      </c>
      <c r="G20" s="192">
        <f>'1.ยาทั่วไป'!G20+'2.ยาแพทย์ PCC'!G20+'3.ยาเรื้อรัง 25%'!G20+'4.ยาเรื้อรังฟรี'!G20</f>
        <v>0</v>
      </c>
      <c r="H20" s="192">
        <f>'1.ยาทั่วไป'!H20+'2.ยาแพทย์ PCC'!H20+'3.ยาเรื้อรัง 25%'!H20+'4.ยาเรื้อรังฟรี'!H20</f>
        <v>0</v>
      </c>
      <c r="I20" s="192">
        <f>'1.ยาทั่วไป'!I20+'2.ยาแพทย์ PCC'!I20+'3.ยาเรื้อรัง 25%'!I20+'4.ยาเรื้อรังฟรี'!I20</f>
        <v>0</v>
      </c>
      <c r="J20" s="192">
        <f>'1.ยาทั่วไป'!J20+'2.ยาแพทย์ PCC'!J20+'3.ยาเรื้อรัง 25%'!J20+'4.ยาเรื้อรังฟรี'!J20</f>
        <v>0</v>
      </c>
      <c r="K20" s="192">
        <f>'1.ยาทั่วไป'!K20+'2.ยาแพทย์ PCC'!K20+'3.ยาเรื้อรัง 25%'!K20+'4.ยาเรื้อรังฟรี'!K20</f>
        <v>0</v>
      </c>
      <c r="L20" s="192">
        <f>'1.ยาทั่วไป'!L20+'2.ยาแพทย์ PCC'!L20+'3.ยาเรื้อรัง 25%'!L20+'4.ยาเรื้อรังฟรี'!L20</f>
        <v>0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30662.36</v>
      </c>
      <c r="P20" s="313">
        <f t="shared" si="0"/>
        <v>2.5317558147131217E-2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16972.809999999998</v>
      </c>
      <c r="D21" s="192">
        <f>'1.ยาทั่วไป'!D21+'2.ยาแพทย์ PCC'!D21+'3.ยาเรื้อรัง 25%'!D21+'4.ยาเรื้อรังฟรี'!D21</f>
        <v>18337.12</v>
      </c>
      <c r="E21" s="192">
        <f>'1.ยาทั่วไป'!E21+'2.ยาแพทย์ PCC'!E21+'3.ยาเรื้อรัง 25%'!E21+'4.ยาเรื้อรังฟรี'!E21</f>
        <v>15810.06</v>
      </c>
      <c r="F21" s="192">
        <f>'1.ยาทั่วไป'!F21+'2.ยาแพทย์ PCC'!F21+'3.ยาเรื้อรัง 25%'!F21+'4.ยาเรื้อรังฟรี'!F21</f>
        <v>0</v>
      </c>
      <c r="G21" s="192">
        <f>'1.ยาทั่วไป'!G21+'2.ยาแพทย์ PCC'!G21+'3.ยาเรื้อรัง 25%'!G21+'4.ยาเรื้อรังฟรี'!G21</f>
        <v>0</v>
      </c>
      <c r="H21" s="192">
        <f>'1.ยาทั่วไป'!H21+'2.ยาแพทย์ PCC'!H21+'3.ยาเรื้อรัง 25%'!H21+'4.ยาเรื้อรังฟรี'!H21</f>
        <v>0</v>
      </c>
      <c r="I21" s="192">
        <f>'1.ยาทั่วไป'!I21+'2.ยาแพทย์ PCC'!I21+'3.ยาเรื้อรัง 25%'!I21+'4.ยาเรื้อรังฟรี'!I21</f>
        <v>0</v>
      </c>
      <c r="J21" s="192">
        <f>'1.ยาทั่วไป'!J21+'2.ยาแพทย์ PCC'!J21+'3.ยาเรื้อรัง 25%'!J21+'4.ยาเรื้อรังฟรี'!J21</f>
        <v>0</v>
      </c>
      <c r="K21" s="192">
        <f>'1.ยาทั่วไป'!K21+'2.ยาแพทย์ PCC'!K21+'3.ยาเรื้อรัง 25%'!K21+'4.ยาเรื้อรังฟรี'!K21</f>
        <v>0</v>
      </c>
      <c r="L21" s="192">
        <f>'1.ยาทั่วไป'!L21+'2.ยาแพทย์ PCC'!L21+'3.ยาเรื้อรัง 25%'!L21+'4.ยาเรื้อรังฟรี'!L21</f>
        <v>0</v>
      </c>
      <c r="M21" s="192">
        <f>'1.ยาทั่วไป'!M21+'2.ยาแพทย์ PCC'!M21+'3.ยาเรื้อรัง 25%'!M21+'4.ยาเรื้อรังฟรี'!M21</f>
        <v>0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51119.989999999991</v>
      </c>
      <c r="P21" s="313">
        <f t="shared" si="0"/>
        <v>4.220918805029248E-2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7507.46</v>
      </c>
      <c r="D22" s="192">
        <f>'1.ยาทั่วไป'!D22+'2.ยาแพทย์ PCC'!D22+'3.ยาเรื้อรัง 25%'!D22+'4.ยาเรื้อรังฟรี'!D22</f>
        <v>22914.03</v>
      </c>
      <c r="E22" s="192">
        <f>'1.ยาทั่วไป'!E22+'2.ยาแพทย์ PCC'!E22+'3.ยาเรื้อรัง 25%'!E22+'4.ยาเรื้อรังฟรี'!E22</f>
        <v>11800.92</v>
      </c>
      <c r="F22" s="192">
        <f>'1.ยาทั่วไป'!F22+'2.ยาแพทย์ PCC'!F22+'3.ยาเรื้อรัง 25%'!F22+'4.ยาเรื้อรังฟรี'!F22</f>
        <v>0</v>
      </c>
      <c r="G22" s="192">
        <f>'1.ยาทั่วไป'!G22+'2.ยาแพทย์ PCC'!G22+'3.ยาเรื้อรัง 25%'!G22+'4.ยาเรื้อรังฟรี'!G22</f>
        <v>0</v>
      </c>
      <c r="H22" s="192">
        <f>'1.ยาทั่วไป'!H22+'2.ยาแพทย์ PCC'!H22+'3.ยาเรื้อรัง 25%'!H22+'4.ยาเรื้อรังฟรี'!H22</f>
        <v>0</v>
      </c>
      <c r="I22" s="192">
        <f>'1.ยาทั่วไป'!I22+'2.ยาแพทย์ PCC'!I22+'3.ยาเรื้อรัง 25%'!I22+'4.ยาเรื้อรังฟรี'!I22</f>
        <v>0</v>
      </c>
      <c r="J22" s="192">
        <f>'1.ยาทั่วไป'!J22+'2.ยาแพทย์ PCC'!J22+'3.ยาเรื้อรัง 25%'!J22+'4.ยาเรื้อรังฟรี'!J22</f>
        <v>0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0</v>
      </c>
      <c r="M22" s="192">
        <f>'1.ยาทั่วไป'!M22+'2.ยาแพทย์ PCC'!M22+'3.ยาเรื้อรัง 25%'!M22+'4.ยาเรื้อรังฟรี'!M22</f>
        <v>0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42222.409999999996</v>
      </c>
      <c r="P22" s="313">
        <f t="shared" si="0"/>
        <v>3.486255853388371E-2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339459.35</v>
      </c>
      <c r="D23" s="194">
        <f t="shared" ref="D23:N23" si="2">SUM(D5:D22)</f>
        <v>416851.29000000004</v>
      </c>
      <c r="E23" s="194">
        <f t="shared" si="2"/>
        <v>454799.83999999997</v>
      </c>
      <c r="F23" s="194">
        <f t="shared" si="2"/>
        <v>0</v>
      </c>
      <c r="G23" s="194">
        <f t="shared" si="2"/>
        <v>0</v>
      </c>
      <c r="H23" s="194">
        <f t="shared" si="2"/>
        <v>0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1211110.48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42855.979999999996</v>
      </c>
      <c r="D24" s="192">
        <f>'1.ยาทั่วไป'!D24</f>
        <v>37110.58</v>
      </c>
      <c r="E24" s="192">
        <f>'1.ยาทั่วไป'!E24</f>
        <v>30764.09</v>
      </c>
      <c r="F24" s="192">
        <f>'1.ยาทั่วไป'!F24</f>
        <v>0</v>
      </c>
      <c r="G24" s="192">
        <f>'1.ยาทั่วไป'!G24</f>
        <v>0</v>
      </c>
      <c r="H24" s="192">
        <f>'1.ยาทั่วไป'!H24</f>
        <v>0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110730.65</v>
      </c>
      <c r="P24" s="313">
        <f t="shared" si="0"/>
        <v>9.1429024707968834E-2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42855.979999999996</v>
      </c>
      <c r="D26" s="195">
        <f t="shared" ref="D26:N26" si="4">SUM(D24:D25)</f>
        <v>37110.58</v>
      </c>
      <c r="E26" s="195">
        <f t="shared" si="4"/>
        <v>30764.09</v>
      </c>
      <c r="F26" s="195">
        <f t="shared" si="4"/>
        <v>0</v>
      </c>
      <c r="G26" s="195">
        <f t="shared" si="4"/>
        <v>0</v>
      </c>
      <c r="H26" s="195">
        <f t="shared" si="4"/>
        <v>0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110730.65</v>
      </c>
      <c r="P26" s="318">
        <f t="shared" si="0"/>
        <v>9.1429024707968834E-2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382315.32999999996</v>
      </c>
      <c r="D27" s="204">
        <f t="shared" ref="D27:M27" si="5">D23+D26</f>
        <v>453961.87000000005</v>
      </c>
      <c r="E27" s="204">
        <f t="shared" si="5"/>
        <v>485563.93</v>
      </c>
      <c r="F27" s="204">
        <f t="shared" si="5"/>
        <v>0</v>
      </c>
      <c r="G27" s="204">
        <f t="shared" si="5"/>
        <v>0</v>
      </c>
      <c r="H27" s="204">
        <f t="shared" si="5"/>
        <v>0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1321841.1299999999</v>
      </c>
      <c r="P27" s="319">
        <f t="shared" si="0"/>
        <v>1.0914290247079688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25/12/62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74369.919999999998</v>
      </c>
      <c r="D5" s="201">
        <f>'1.1รวมยาทั้งหมด(1+2+3+4)'!D5+'5.vaccine'!D5</f>
        <v>94953.39</v>
      </c>
      <c r="E5" s="201">
        <f>'1.1รวมยาทั้งหมด(1+2+3+4)'!E5+'5.vaccine'!E5</f>
        <v>90942.719999999987</v>
      </c>
      <c r="F5" s="201">
        <f>'1.1รวมยาทั้งหมด(1+2+3+4)'!F5+'5.vaccine'!F5</f>
        <v>0</v>
      </c>
      <c r="G5" s="201">
        <f>'1.1รวมยาทั้งหมด(1+2+3+4)'!G5+'5.vaccine'!G5</f>
        <v>0</v>
      </c>
      <c r="H5" s="201">
        <f>'1.1รวมยาทั้งหมด(1+2+3+4)'!H5+'5.vaccine'!H5</f>
        <v>0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260266.02999999997</v>
      </c>
      <c r="P5" s="324">
        <f t="shared" ref="P5:P27" si="0">O5/$O$23</f>
        <v>0.15974887096881904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39617.339999999997</v>
      </c>
      <c r="D6" s="201">
        <f>'1.1รวมยาทั้งหมด(1+2+3+4)'!D6+'5.vaccine'!D6</f>
        <v>63618.85</v>
      </c>
      <c r="E6" s="201">
        <f>'1.1รวมยาทั้งหมด(1+2+3+4)'!E6+'5.vaccine'!E6</f>
        <v>45268.3</v>
      </c>
      <c r="F6" s="201">
        <f>'1.1รวมยาทั้งหมด(1+2+3+4)'!F6+'5.vaccine'!F6</f>
        <v>0</v>
      </c>
      <c r="G6" s="201">
        <f>'1.1รวมยาทั้งหมด(1+2+3+4)'!G6+'5.vaccine'!G6</f>
        <v>0</v>
      </c>
      <c r="H6" s="201">
        <f>'1.1รวมยาทั้งหมด(1+2+3+4)'!H6+'5.vaccine'!H6</f>
        <v>0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148504.49</v>
      </c>
      <c r="P6" s="324">
        <f t="shared" si="0"/>
        <v>9.1150676142023906E-2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18993.91</v>
      </c>
      <c r="D7" s="201">
        <f>'1.1รวมยาทั้งหมด(1+2+3+4)'!D7+'5.vaccine'!D7</f>
        <v>10982.22</v>
      </c>
      <c r="E7" s="201">
        <f>'1.1รวมยาทั้งหมด(1+2+3+4)'!E7+'5.vaccine'!E7</f>
        <v>31958.86</v>
      </c>
      <c r="F7" s="201">
        <f>'1.1รวมยาทั้งหมด(1+2+3+4)'!F7+'5.vaccine'!F7</f>
        <v>0</v>
      </c>
      <c r="G7" s="201">
        <f>'1.1รวมยาทั้งหมด(1+2+3+4)'!G7+'5.vaccine'!G7</f>
        <v>0</v>
      </c>
      <c r="H7" s="201">
        <f>'1.1รวมยาทั้งหมด(1+2+3+4)'!H7+'5.vaccine'!H7</f>
        <v>0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61934.99</v>
      </c>
      <c r="P7" s="324">
        <f t="shared" si="0"/>
        <v>3.8015121396999439E-2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20894.47</v>
      </c>
      <c r="D8" s="201">
        <f>'1.1รวมยาทั้งหมด(1+2+3+4)'!D8+'5.vaccine'!D8</f>
        <v>201152.6</v>
      </c>
      <c r="E8" s="201">
        <f>'1.1รวมยาทั้งหมด(1+2+3+4)'!E8+'5.vaccine'!E8</f>
        <v>51831.409999999996</v>
      </c>
      <c r="F8" s="201">
        <f>'1.1รวมยาทั้งหมด(1+2+3+4)'!F8+'5.vaccine'!F8</f>
        <v>0</v>
      </c>
      <c r="G8" s="201">
        <f>'1.1รวมยาทั้งหมด(1+2+3+4)'!G8+'5.vaccine'!G8</f>
        <v>0</v>
      </c>
      <c r="H8" s="201">
        <f>'1.1รวมยาทั้งหมด(1+2+3+4)'!H8+'5.vaccine'!H8</f>
        <v>0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273878.48</v>
      </c>
      <c r="P8" s="324">
        <f t="shared" si="0"/>
        <v>0.16810406629961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47747.34</v>
      </c>
      <c r="D9" s="201">
        <f>'1.1รวมยาทั้งหมด(1+2+3+4)'!D9+'5.vaccine'!D9</f>
        <v>14315.130000000001</v>
      </c>
      <c r="E9" s="201">
        <f>'1.1รวมยาทั้งหมด(1+2+3+4)'!E9+'5.vaccine'!E9</f>
        <v>37340.639999999999</v>
      </c>
      <c r="F9" s="201">
        <f>'1.1รวมยาทั้งหมด(1+2+3+4)'!F9+'5.vaccine'!F9</f>
        <v>0</v>
      </c>
      <c r="G9" s="201">
        <f>'1.1รวมยาทั้งหมด(1+2+3+4)'!G9+'5.vaccine'!G9</f>
        <v>0</v>
      </c>
      <c r="H9" s="201">
        <f>'1.1รวมยาทั้งหมด(1+2+3+4)'!H9+'5.vaccine'!H9</f>
        <v>0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99403.11</v>
      </c>
      <c r="P9" s="324">
        <f t="shared" si="0"/>
        <v>6.1012705320357512E-2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23602.170000000002</v>
      </c>
      <c r="D10" s="201">
        <f>'1.1รวมยาทั้งหมด(1+2+3+4)'!D10+'5.vaccine'!D10</f>
        <v>11653.560000000001</v>
      </c>
      <c r="E10" s="201">
        <f>'1.1รวมยาทั้งหมด(1+2+3+4)'!E10+'5.vaccine'!E10</f>
        <v>22556.61</v>
      </c>
      <c r="F10" s="201">
        <f>'1.1รวมยาทั้งหมด(1+2+3+4)'!F10+'5.vaccine'!F10</f>
        <v>0</v>
      </c>
      <c r="G10" s="201">
        <f>'1.1รวมยาทั้งหมด(1+2+3+4)'!G10+'5.vaccine'!G10</f>
        <v>0</v>
      </c>
      <c r="H10" s="201">
        <f>'1.1รวมยาทั้งหมด(1+2+3+4)'!H10+'5.vaccine'!H10</f>
        <v>0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57812.340000000004</v>
      </c>
      <c r="P10" s="324">
        <f t="shared" si="0"/>
        <v>3.5484677132338389E-2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35385.599999999999</v>
      </c>
      <c r="D11" s="201">
        <f>'1.1รวมยาทั้งหมด(1+2+3+4)'!D11+'5.vaccine'!D11</f>
        <v>14835.18</v>
      </c>
      <c r="E11" s="201">
        <f>'1.1รวมยาทั้งหมด(1+2+3+4)'!E11+'5.vaccine'!E11</f>
        <v>32945.31</v>
      </c>
      <c r="F11" s="201">
        <f>'1.1รวมยาทั้งหมด(1+2+3+4)'!F11+'5.vaccine'!F11</f>
        <v>0</v>
      </c>
      <c r="G11" s="201">
        <f>'1.1รวมยาทั้งหมด(1+2+3+4)'!G11+'5.vaccine'!G11</f>
        <v>0</v>
      </c>
      <c r="H11" s="201">
        <f>'1.1รวมยาทั้งหมด(1+2+3+4)'!H11+'5.vaccine'!H11</f>
        <v>0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83166.09</v>
      </c>
      <c r="P11" s="324">
        <f t="shared" si="0"/>
        <v>5.1046573309590927E-2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12219.68</v>
      </c>
      <c r="D12" s="201">
        <f>'1.1รวมยาทั้งหมด(1+2+3+4)'!D12+'5.vaccine'!D12</f>
        <v>52842.42</v>
      </c>
      <c r="E12" s="201">
        <f>'1.1รวมยาทั้งหมด(1+2+3+4)'!E12+'5.vaccine'!E12</f>
        <v>41599.519999999997</v>
      </c>
      <c r="F12" s="201">
        <f>'1.1รวมยาทั้งหมด(1+2+3+4)'!F12+'5.vaccine'!F12</f>
        <v>0</v>
      </c>
      <c r="G12" s="201">
        <f>'1.1รวมยาทั้งหมด(1+2+3+4)'!G12+'5.vaccine'!G12</f>
        <v>0</v>
      </c>
      <c r="H12" s="201">
        <f>'1.1รวมยาทั้งหมด(1+2+3+4)'!H12+'5.vaccine'!H12</f>
        <v>0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106661.62</v>
      </c>
      <c r="P12" s="324">
        <f t="shared" si="0"/>
        <v>6.5467911316375818E-2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19900.28</v>
      </c>
      <c r="D13" s="201">
        <f>'1.1รวมยาทั้งหมด(1+2+3+4)'!D13+'5.vaccine'!D13</f>
        <v>15400.71</v>
      </c>
      <c r="E13" s="201">
        <f>'1.1รวมยาทั้งหมด(1+2+3+4)'!E13+'5.vaccine'!E13</f>
        <v>18023.949999999997</v>
      </c>
      <c r="F13" s="201">
        <f>'1.1รวมยาทั้งหมด(1+2+3+4)'!F13+'5.vaccine'!F13</f>
        <v>0</v>
      </c>
      <c r="G13" s="201">
        <f>'1.1รวมยาทั้งหมด(1+2+3+4)'!G13+'5.vaccine'!G13</f>
        <v>0</v>
      </c>
      <c r="H13" s="201">
        <f>'1.1รวมยาทั้งหมด(1+2+3+4)'!H13+'5.vaccine'!H13</f>
        <v>0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53324.939999999995</v>
      </c>
      <c r="P13" s="324">
        <f t="shared" si="0"/>
        <v>3.2730352706728638E-2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4163.26</v>
      </c>
      <c r="D14" s="201">
        <f>'1.1รวมยาทั้งหมด(1+2+3+4)'!D14+'5.vaccine'!D14</f>
        <v>10471.52</v>
      </c>
      <c r="E14" s="201">
        <f>'1.1รวมยาทั้งหมด(1+2+3+4)'!E14+'5.vaccine'!E14</f>
        <v>10204.58</v>
      </c>
      <c r="F14" s="201">
        <f>'1.1รวมยาทั้งหมด(1+2+3+4)'!F14+'5.vaccine'!F14</f>
        <v>0</v>
      </c>
      <c r="G14" s="201">
        <f>'1.1รวมยาทั้งหมด(1+2+3+4)'!G14+'5.vaccine'!G14</f>
        <v>0</v>
      </c>
      <c r="H14" s="201">
        <f>'1.1รวมยาทั้งหมด(1+2+3+4)'!H14+'5.vaccine'!H14</f>
        <v>0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24839.360000000001</v>
      </c>
      <c r="P14" s="324">
        <f t="shared" si="0"/>
        <v>1.524616837467435E-2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32895.14</v>
      </c>
      <c r="D15" s="201">
        <f>'1.1รวมยาทั้งหมด(1+2+3+4)'!D15+'5.vaccine'!D15</f>
        <v>27228</v>
      </c>
      <c r="E15" s="201">
        <f>'1.1รวมยาทั้งหมด(1+2+3+4)'!E15+'5.vaccine'!E15</f>
        <v>20194.189999999999</v>
      </c>
      <c r="F15" s="201">
        <f>'1.1รวมยาทั้งหมด(1+2+3+4)'!F15+'5.vaccine'!F15</f>
        <v>0</v>
      </c>
      <c r="G15" s="201">
        <f>'1.1รวมยาทั้งหมด(1+2+3+4)'!G15+'5.vaccine'!G15</f>
        <v>0</v>
      </c>
      <c r="H15" s="201">
        <f>'1.1รวมยาทั้งหมด(1+2+3+4)'!H15+'5.vaccine'!H15</f>
        <v>0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80317.33</v>
      </c>
      <c r="P15" s="324">
        <f t="shared" si="0"/>
        <v>4.929803089066237E-2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7142.59</v>
      </c>
      <c r="D16" s="201">
        <f>'1.1รวมยาทั้งหมด(1+2+3+4)'!D16+'5.vaccine'!D16</f>
        <v>20863.25</v>
      </c>
      <c r="E16" s="201">
        <f>'1.1รวมยาทั้งหมด(1+2+3+4)'!E16+'5.vaccine'!E16</f>
        <v>15630.810000000001</v>
      </c>
      <c r="F16" s="201">
        <f>'1.1รวมยาทั้งหมด(1+2+3+4)'!F16+'5.vaccine'!F16</f>
        <v>0</v>
      </c>
      <c r="G16" s="201">
        <f>'1.1รวมยาทั้งหมด(1+2+3+4)'!G16+'5.vaccine'!G16</f>
        <v>0</v>
      </c>
      <c r="H16" s="201">
        <f>'1.1รวมยาทั้งหมด(1+2+3+4)'!H16+'5.vaccine'!H16</f>
        <v>0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43636.65</v>
      </c>
      <c r="P16" s="324">
        <f t="shared" si="0"/>
        <v>2.6783770322855879E-2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16763.47</v>
      </c>
      <c r="D17" s="201">
        <f>'1.1รวมยาทั้งหมด(1+2+3+4)'!D17+'5.vaccine'!D17</f>
        <v>13852.68</v>
      </c>
      <c r="E17" s="201">
        <f>'1.1รวมยาทั้งหมด(1+2+3+4)'!E17+'5.vaccine'!E17</f>
        <v>21387.9</v>
      </c>
      <c r="F17" s="201">
        <f>'1.1รวมยาทั้งหมด(1+2+3+4)'!F17+'5.vaccine'!F17</f>
        <v>0</v>
      </c>
      <c r="G17" s="201">
        <f>'1.1รวมยาทั้งหมด(1+2+3+4)'!G17+'5.vaccine'!G17</f>
        <v>0</v>
      </c>
      <c r="H17" s="201">
        <f>'1.1รวมยาทั้งหมด(1+2+3+4)'!H17+'5.vaccine'!H17</f>
        <v>0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52004.05</v>
      </c>
      <c r="P17" s="324">
        <f t="shared" si="0"/>
        <v>3.1919602697693644E-2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5518.1399999999994</v>
      </c>
      <c r="D18" s="201">
        <f>'1.1รวมยาทั้งหมด(1+2+3+4)'!D18+'5.vaccine'!D18</f>
        <v>10876.84</v>
      </c>
      <c r="E18" s="201">
        <f>'1.1รวมยาทั้งหมด(1+2+3+4)'!E18+'5.vaccine'!E18</f>
        <v>18765.43</v>
      </c>
      <c r="F18" s="201">
        <f>'1.1รวมยาทั้งหมด(1+2+3+4)'!F18+'5.vaccine'!F18</f>
        <v>0</v>
      </c>
      <c r="G18" s="201">
        <f>'1.1รวมยาทั้งหมด(1+2+3+4)'!G18+'5.vaccine'!G18</f>
        <v>0</v>
      </c>
      <c r="H18" s="201">
        <f>'1.1รวมยาทั้งหมด(1+2+3+4)'!H18+'5.vaccine'!H18</f>
        <v>0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35160.410000000003</v>
      </c>
      <c r="P18" s="324">
        <f t="shared" si="0"/>
        <v>2.1581132967298022E-2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18865.400000000001</v>
      </c>
      <c r="D19" s="201">
        <f>'1.1รวมยาทั้งหมด(1+2+3+4)'!D19+'5.vaccine'!D19</f>
        <v>28970.949999999997</v>
      </c>
      <c r="E19" s="201">
        <f>'1.1รวมยาทั้งหมด(1+2+3+4)'!E19+'5.vaccine'!E19</f>
        <v>24447.21</v>
      </c>
      <c r="F19" s="201">
        <f>'1.1รวมยาทั้งหมด(1+2+3+4)'!F19+'5.vaccine'!F19</f>
        <v>0</v>
      </c>
      <c r="G19" s="201">
        <f>'1.1รวมยาทั้งหมด(1+2+3+4)'!G19+'5.vaccine'!G19</f>
        <v>0</v>
      </c>
      <c r="H19" s="201">
        <f>'1.1รวมยาทั้งหมด(1+2+3+4)'!H19+'5.vaccine'!H19</f>
        <v>0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72283.56</v>
      </c>
      <c r="P19" s="324">
        <f t="shared" si="0"/>
        <v>4.4366977509922786E-2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3210.52</v>
      </c>
      <c r="D20" s="201">
        <f>'1.1รวมยาทั้งหมด(1+2+3+4)'!D20+'5.vaccine'!D20</f>
        <v>15016.26</v>
      </c>
      <c r="E20" s="201">
        <f>'1.1รวมยาทั้งหมด(1+2+3+4)'!E20+'5.vaccine'!E20</f>
        <v>18836.599999999999</v>
      </c>
      <c r="F20" s="201">
        <f>'1.1รวมยาทั้งหมด(1+2+3+4)'!F20+'5.vaccine'!F20</f>
        <v>0</v>
      </c>
      <c r="G20" s="201">
        <f>'1.1รวมยาทั้งหมด(1+2+3+4)'!G20+'5.vaccine'!G20</f>
        <v>0</v>
      </c>
      <c r="H20" s="201">
        <f>'1.1รวมยาทั้งหมด(1+2+3+4)'!H20+'5.vaccine'!H20</f>
        <v>0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37063.379999999997</v>
      </c>
      <c r="P20" s="324">
        <f t="shared" si="0"/>
        <v>2.2749158271973904E-2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20143.299999999996</v>
      </c>
      <c r="D21" s="201">
        <f>'1.1รวมยาทั้งหมด(1+2+3+4)'!D21+'5.vaccine'!D21</f>
        <v>40190.379999999997</v>
      </c>
      <c r="E21" s="201">
        <f>'1.1รวมยาทั้งหมด(1+2+3+4)'!E21+'5.vaccine'!E21</f>
        <v>21156.5</v>
      </c>
      <c r="F21" s="201">
        <f>'1.1รวมยาทั้งหมด(1+2+3+4)'!F21+'5.vaccine'!F21</f>
        <v>0</v>
      </c>
      <c r="G21" s="201">
        <f>'1.1รวมยาทั้งหมด(1+2+3+4)'!G21+'5.vaccine'!G21</f>
        <v>0</v>
      </c>
      <c r="H21" s="201">
        <f>'1.1รวมยาทั้งหมด(1+2+3+4)'!H21+'5.vaccine'!H21</f>
        <v>0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81490.179999999993</v>
      </c>
      <c r="P21" s="324">
        <f t="shared" si="0"/>
        <v>5.0017915323201566E-2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12319.92</v>
      </c>
      <c r="D22" s="201">
        <f>'1.1รวมยาทั้งหมด(1+2+3+4)'!D22+'5.vaccine'!D22</f>
        <v>29629.91</v>
      </c>
      <c r="E22" s="201">
        <f>'1.1รวมยาทั้งหมด(1+2+3+4)'!E22+'5.vaccine'!E22</f>
        <v>15523</v>
      </c>
      <c r="F22" s="201">
        <f>'1.1รวมยาทั้งหมด(1+2+3+4)'!F22+'5.vaccine'!F22</f>
        <v>0</v>
      </c>
      <c r="G22" s="201">
        <f>'1.1รวมยาทั้งหมด(1+2+3+4)'!G22+'5.vaccine'!G22</f>
        <v>0</v>
      </c>
      <c r="H22" s="201">
        <f>'1.1รวมยาทั้งหมด(1+2+3+4)'!H22+'5.vaccine'!H22</f>
        <v>0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57472.83</v>
      </c>
      <c r="P22" s="324">
        <f t="shared" si="0"/>
        <v>3.5276289048873852E-2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413752.45000000007</v>
      </c>
      <c r="D23" s="212">
        <f t="shared" ref="D23:O23" si="2">SUM(D5:D22)</f>
        <v>676853.85000000009</v>
      </c>
      <c r="E23" s="212">
        <f t="shared" si="2"/>
        <v>538613.54</v>
      </c>
      <c r="F23" s="212">
        <f t="shared" si="2"/>
        <v>0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1629219.8399999999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42855.979999999996</v>
      </c>
      <c r="D24" s="200">
        <f>'1.1รวมยาทั้งหมด(1+2+3+4)'!D24+'5.vaccine'!D24</f>
        <v>37110.58</v>
      </c>
      <c r="E24" s="200">
        <f>'1.1รวมยาทั้งหมด(1+2+3+4)'!E24+'5.vaccine'!E24</f>
        <v>30764.09</v>
      </c>
      <c r="F24" s="200">
        <f>'1.1รวมยาทั้งหมด(1+2+3+4)'!F24+'5.vaccine'!F24</f>
        <v>0</v>
      </c>
      <c r="G24" s="200">
        <f>'1.1รวมยาทั้งหมด(1+2+3+4)'!G24+'5.vaccine'!G24</f>
        <v>0</v>
      </c>
      <c r="H24" s="200">
        <f>'1.1รวมยาทั้งหมด(1+2+3+4)'!H24+'5.vaccine'!H24</f>
        <v>0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110730.65</v>
      </c>
      <c r="P24" s="324">
        <f t="shared" si="0"/>
        <v>6.7965444123243679E-2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4">
        <f>SUM(C24:C25)</f>
        <v>42855.979999999996</v>
      </c>
      <c r="D26" s="214">
        <f t="shared" ref="D26:N26" si="4">SUM(D24:D25)</f>
        <v>37110.58</v>
      </c>
      <c r="E26" s="214">
        <f t="shared" si="4"/>
        <v>30764.09</v>
      </c>
      <c r="F26" s="214">
        <f t="shared" si="4"/>
        <v>0</v>
      </c>
      <c r="G26" s="214">
        <f t="shared" si="4"/>
        <v>0</v>
      </c>
      <c r="H26" s="214">
        <f t="shared" si="4"/>
        <v>0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110730.65</v>
      </c>
      <c r="P26" s="326">
        <f t="shared" si="0"/>
        <v>6.7965444123243679E-2</v>
      </c>
    </row>
    <row r="27" spans="1:16" s="55" customFormat="1" ht="18" customHeight="1" x14ac:dyDescent="0.2">
      <c r="A27" s="202" t="s">
        <v>67</v>
      </c>
      <c r="B27" s="216" t="s">
        <v>25</v>
      </c>
      <c r="C27" s="217">
        <f>C23+C26</f>
        <v>456608.43000000005</v>
      </c>
      <c r="D27" s="217">
        <f t="shared" ref="D27:N27" si="5">D23+D26</f>
        <v>713964.43</v>
      </c>
      <c r="E27" s="217">
        <f t="shared" si="5"/>
        <v>569377.63</v>
      </c>
      <c r="F27" s="217">
        <f t="shared" si="5"/>
        <v>0</v>
      </c>
      <c r="G27" s="217">
        <f t="shared" si="5"/>
        <v>0</v>
      </c>
      <c r="H27" s="217">
        <f t="shared" si="5"/>
        <v>0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1739950.4900000002</v>
      </c>
      <c r="P27" s="327">
        <f t="shared" si="0"/>
        <v>1.067965444123244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0" t="s">
        <v>73</v>
      </c>
      <c r="H30" s="360"/>
      <c r="I30" s="360"/>
      <c r="J30" s="3"/>
      <c r="K30" s="3"/>
      <c r="L30" s="360" t="s">
        <v>49</v>
      </c>
      <c r="M30" s="360"/>
      <c r="N30" s="360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25/12/62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68046.86</v>
      </c>
      <c r="D5" s="183">
        <f>'1.1รวมยาทั้งหมด(1+2+3+4)'!D5+'2.รวมวชย ทุกประเภท'!D5</f>
        <v>85315.39</v>
      </c>
      <c r="E5" s="183">
        <f>'1.1รวมยาทั้งหมด(1+2+3+4)'!E5+'2.รวมวชย ทุกประเภท'!E5</f>
        <v>82865.459999999992</v>
      </c>
      <c r="F5" s="183">
        <f>'1.1รวมยาทั้งหมด(1+2+3+4)'!F5+'2.รวมวชย ทุกประเภท'!F5</f>
        <v>0</v>
      </c>
      <c r="G5" s="183">
        <f>'1.1รวมยาทั้งหมด(1+2+3+4)'!G5+'2.รวมวชย ทุกประเภท'!G5</f>
        <v>0</v>
      </c>
      <c r="H5" s="183">
        <f>'1.1รวมยาทั้งหมด(1+2+3+4)'!H5+'2.รวมวชย ทุกประเภท'!H5</f>
        <v>0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236227.71</v>
      </c>
      <c r="P5" s="313">
        <f t="shared" ref="P5:P27" si="0">O5/$O$23</f>
        <v>0.19505050439329033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37636.559999999998</v>
      </c>
      <c r="D6" s="183">
        <f>'1.1รวมยาทั้งหมด(1+2+3+4)'!D6+'2.รวมวชย ทุกประเภท'!D6</f>
        <v>49001.85</v>
      </c>
      <c r="E6" s="183">
        <f>'1.1รวมยาทั้งหมด(1+2+3+4)'!E6+'2.รวมวชย ทุกประเภท'!E6</f>
        <v>41573.300000000003</v>
      </c>
      <c r="F6" s="183">
        <f>'1.1รวมยาทั้งหมด(1+2+3+4)'!F6+'2.รวมวชย ทุกประเภท'!F6</f>
        <v>0</v>
      </c>
      <c r="G6" s="183">
        <f>'1.1รวมยาทั้งหมด(1+2+3+4)'!G6+'2.รวมวชย ทุกประเภท'!G6</f>
        <v>0</v>
      </c>
      <c r="H6" s="183">
        <f>'1.1รวมยาทั้งหมด(1+2+3+4)'!H6+'2.รวมวชย ทุกประเภท'!H6</f>
        <v>0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128211.71</v>
      </c>
      <c r="P6" s="313">
        <f t="shared" si="0"/>
        <v>0.10586293498178628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14656.35</v>
      </c>
      <c r="D7" s="183">
        <f>'1.1รวมยาทั้งหมด(1+2+3+4)'!D7+'2.รวมวชย ทุกประเภท'!D7</f>
        <v>8607.119999999999</v>
      </c>
      <c r="E7" s="183">
        <f>'1.1รวมยาทั้งหมด(1+2+3+4)'!E7+'2.รวมวชย ทุกประเภท'!E7</f>
        <v>29024.55</v>
      </c>
      <c r="F7" s="183">
        <f>'1.1รวมยาทั้งหมด(1+2+3+4)'!F7+'2.รวมวชย ทุกประเภท'!F7</f>
        <v>0</v>
      </c>
      <c r="G7" s="183">
        <f>'1.1รวมยาทั้งหมด(1+2+3+4)'!G7+'2.รวมวชย ทุกประเภท'!G7</f>
        <v>0</v>
      </c>
      <c r="H7" s="183">
        <f>'1.1รวมยาทั้งหมด(1+2+3+4)'!H7+'2.รวมวชย ทุกประเภท'!H7</f>
        <v>0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52288.020000000004</v>
      </c>
      <c r="P7" s="313">
        <f t="shared" si="0"/>
        <v>4.3173616993224265E-2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12633.43</v>
      </c>
      <c r="D8" s="183">
        <f>'1.1รวมยาทั้งหมด(1+2+3+4)'!D8+'2.รวมวชย ทุกประเภท'!D8</f>
        <v>65062</v>
      </c>
      <c r="E8" s="183">
        <f>'1.1รวมยาทั้งหมด(1+2+3+4)'!E8+'2.รวมวชย ทุกประเภท'!E8</f>
        <v>46045.13</v>
      </c>
      <c r="F8" s="183">
        <f>'1.1รวมยาทั้งหมด(1+2+3+4)'!F8+'2.รวมวชย ทุกประเภท'!F8</f>
        <v>0</v>
      </c>
      <c r="G8" s="183">
        <f>'1.1รวมยาทั้งหมด(1+2+3+4)'!G8+'2.รวมวชย ทุกประเภท'!G8</f>
        <v>0</v>
      </c>
      <c r="H8" s="183">
        <f>'1.1รวมยาทั้งหมด(1+2+3+4)'!H8+'2.รวมวชย ทุกประเภท'!H8</f>
        <v>0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123740.56</v>
      </c>
      <c r="P8" s="313">
        <f t="shared" si="0"/>
        <v>0.10217115782864002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40436.75</v>
      </c>
      <c r="D9" s="183">
        <f>'1.1รวมยาทั้งหมด(1+2+3+4)'!D9+'2.รวมวชย ทุกประเภท'!D9</f>
        <v>11278</v>
      </c>
      <c r="E9" s="183">
        <f>'1.1รวมยาทั้งหมด(1+2+3+4)'!E9+'2.รวมวชย ทุกประเภท'!E9</f>
        <v>30651.85</v>
      </c>
      <c r="F9" s="183">
        <f>'1.1รวมยาทั้งหมด(1+2+3+4)'!F9+'2.รวมวชย ทุกประเภท'!F9</f>
        <v>0</v>
      </c>
      <c r="G9" s="183">
        <f>'1.1รวมยาทั้งหมด(1+2+3+4)'!G9+'2.รวมวชย ทุกประเภท'!G9</f>
        <v>0</v>
      </c>
      <c r="H9" s="183">
        <f>'1.1รวมยาทั้งหมด(1+2+3+4)'!H9+'2.รวมวชย ทุกประเภท'!H9</f>
        <v>0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82366.600000000006</v>
      </c>
      <c r="P9" s="313">
        <f t="shared" si="0"/>
        <v>6.8009154705687955E-2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19348.830000000002</v>
      </c>
      <c r="D10" s="183">
        <f>'1.1รวมยาทั้งหมด(1+2+3+4)'!D10+'2.รวมวชย ทุกประเภท'!D10</f>
        <v>6681</v>
      </c>
      <c r="E10" s="183">
        <f>'1.1รวมยาทั้งหมด(1+2+3+4)'!E10+'2.รวมวชย ทุกประเภท'!E10</f>
        <v>19983.18</v>
      </c>
      <c r="F10" s="183">
        <f>'1.1รวมยาทั้งหมด(1+2+3+4)'!F10+'2.รวมวชย ทุกประเภท'!F10</f>
        <v>0</v>
      </c>
      <c r="G10" s="183">
        <f>'1.1รวมยาทั้งหมด(1+2+3+4)'!G10+'2.รวมวชย ทุกประเภท'!G10</f>
        <v>0</v>
      </c>
      <c r="H10" s="183">
        <f>'1.1รวมยาทั้งหมด(1+2+3+4)'!H10+'2.รวมวชย ทุกประเภท'!H10</f>
        <v>0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46013.01</v>
      </c>
      <c r="P10" s="313">
        <f t="shared" si="0"/>
        <v>3.7992413375863114E-2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32394.3</v>
      </c>
      <c r="D11" s="183">
        <f>'1.1รวมยาทั้งหมด(1+2+3+4)'!D11+'2.รวมวชย ทุกประเภท'!D11</f>
        <v>12196.66</v>
      </c>
      <c r="E11" s="183">
        <f>'1.1รวมยาทั้งหมด(1+2+3+4)'!E11+'2.รวมวชย ทุกประเภท'!E11</f>
        <v>27844.98</v>
      </c>
      <c r="F11" s="183">
        <f>'1.1รวมยาทั้งหมด(1+2+3+4)'!F11+'2.รวมวชย ทุกประเภท'!F11</f>
        <v>0</v>
      </c>
      <c r="G11" s="183">
        <f>'1.1รวมยาทั้งหมด(1+2+3+4)'!G11+'2.รวมวชย ทุกประเภท'!G11</f>
        <v>0</v>
      </c>
      <c r="H11" s="183">
        <f>'1.1รวมยาทั้งหมด(1+2+3+4)'!H11+'2.รวมวชย ทุกประเภท'!H11</f>
        <v>0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72435.94</v>
      </c>
      <c r="P11" s="313">
        <f t="shared" si="0"/>
        <v>5.9809522909916514E-2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6538.2199999999993</v>
      </c>
      <c r="D12" s="183">
        <f>'1.1รวมยาทั้งหมด(1+2+3+4)'!D12+'2.รวมวชย ทุกประเภท'!D12</f>
        <v>46192</v>
      </c>
      <c r="E12" s="183">
        <f>'1.1รวมยาทั้งหมด(1+2+3+4)'!E12+'2.รวมวชย ทุกประเภท'!E12</f>
        <v>36051.32</v>
      </c>
      <c r="F12" s="183">
        <f>'1.1รวมยาทั้งหมด(1+2+3+4)'!F12+'2.รวมวชย ทุกประเภท'!F12</f>
        <v>0</v>
      </c>
      <c r="G12" s="183">
        <f>'1.1รวมยาทั้งหมด(1+2+3+4)'!G12+'2.รวมวชย ทุกประเภท'!G12</f>
        <v>0</v>
      </c>
      <c r="H12" s="183">
        <f>'1.1รวมยาทั้งหมด(1+2+3+4)'!H12+'2.รวมวชย ทุกประเภท'!H12</f>
        <v>0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88781.540000000008</v>
      </c>
      <c r="P12" s="313">
        <f t="shared" si="0"/>
        <v>7.3305896915366459E-2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14973.64</v>
      </c>
      <c r="D13" s="183">
        <f>'1.1รวมยาทั้งหมด(1+2+3+4)'!D13+'2.รวมวชย ทุกประเภท'!D13</f>
        <v>4829.8100000000004</v>
      </c>
      <c r="E13" s="183">
        <f>'1.1รวมยาทั้งหมด(1+2+3+4)'!E13+'2.รวมวชย ทุกประเภท'!E13</f>
        <v>11912.8</v>
      </c>
      <c r="F13" s="183">
        <f>'1.1รวมยาทั้งหมด(1+2+3+4)'!F13+'2.รวมวชย ทุกประเภท'!F13</f>
        <v>0</v>
      </c>
      <c r="G13" s="183">
        <f>'1.1รวมยาทั้งหมด(1+2+3+4)'!G13+'2.รวมวชย ทุกประเภท'!G13</f>
        <v>0</v>
      </c>
      <c r="H13" s="183">
        <f>'1.1รวมยาทั้งหมด(1+2+3+4)'!H13+'2.รวมวชย ทุกประเภท'!H13</f>
        <v>0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31716.25</v>
      </c>
      <c r="P13" s="313">
        <f t="shared" si="0"/>
        <v>2.6187743004255064E-2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3855</v>
      </c>
      <c r="D14" s="183">
        <f>'1.1รวมยาทั้งหมด(1+2+3+4)'!D14+'2.รวมวชย ทุกประเภท'!D14</f>
        <v>6398</v>
      </c>
      <c r="E14" s="183">
        <f>'1.1รวมยาทั้งหมด(1+2+3+4)'!E14+'2.รวมวชย ทุกประเภท'!E14</f>
        <v>6617</v>
      </c>
      <c r="F14" s="183">
        <f>'1.1รวมยาทั้งหมด(1+2+3+4)'!F14+'2.รวมวชย ทุกประเภท'!F14</f>
        <v>0</v>
      </c>
      <c r="G14" s="183">
        <f>'1.1รวมยาทั้งหมด(1+2+3+4)'!G14+'2.รวมวชย ทุกประเภท'!G14</f>
        <v>0</v>
      </c>
      <c r="H14" s="183">
        <f>'1.1รวมยาทั้งหมด(1+2+3+4)'!H14+'2.รวมวชย ทุกประเภท'!H14</f>
        <v>0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16870</v>
      </c>
      <c r="P14" s="313">
        <f t="shared" si="0"/>
        <v>1.3929365056770046E-2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30361.32</v>
      </c>
      <c r="D15" s="183">
        <f>'1.1รวมยาทั้งหมด(1+2+3+4)'!D15+'2.รวมวชย ทุกประเภท'!D15</f>
        <v>23038.16</v>
      </c>
      <c r="E15" s="183">
        <f>'1.1รวมยาทั้งหมด(1+2+3+4)'!E15+'2.รวมวชย ทุกประเภท'!E15</f>
        <v>17270.12</v>
      </c>
      <c r="F15" s="183">
        <f>'1.1รวมยาทั้งหมด(1+2+3+4)'!F15+'2.รวมวชย ทุกประเภท'!F15</f>
        <v>0</v>
      </c>
      <c r="G15" s="183">
        <f>'1.1รวมยาทั้งหมด(1+2+3+4)'!G15+'2.รวมวชย ทุกประเภท'!G15</f>
        <v>0</v>
      </c>
      <c r="H15" s="183">
        <f>'1.1รวมยาทั้งหมด(1+2+3+4)'!H15+'2.รวมวชย ทุกประเภท'!H15</f>
        <v>0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70669.599999999991</v>
      </c>
      <c r="P15" s="313">
        <f t="shared" si="0"/>
        <v>5.8351076278358997E-2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5463.99</v>
      </c>
      <c r="D16" s="183">
        <f>'1.1รวมยาทั้งหมด(1+2+3+4)'!D16+'2.รวมวชย ทุกประเภท'!D16</f>
        <v>11213.29</v>
      </c>
      <c r="E16" s="183">
        <f>'1.1รวมยาทั้งหมด(1+2+3+4)'!E16+'2.รวมวชย ทุกประเภท'!E16</f>
        <v>11784.380000000001</v>
      </c>
      <c r="F16" s="183">
        <f>'1.1รวมยาทั้งหมด(1+2+3+4)'!F16+'2.รวมวชย ทุกประเภท'!F16</f>
        <v>0</v>
      </c>
      <c r="G16" s="183">
        <f>'1.1รวมยาทั้งหมด(1+2+3+4)'!G16+'2.รวมวชย ทุกประเภท'!G16</f>
        <v>0</v>
      </c>
      <c r="H16" s="183">
        <f>'1.1รวมยาทั้งหมด(1+2+3+4)'!H16+'2.รวมวชย ทุกประเภท'!H16</f>
        <v>0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28461.66</v>
      </c>
      <c r="P16" s="313">
        <f t="shared" si="0"/>
        <v>2.3500465457123278E-2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13195.79</v>
      </c>
      <c r="D17" s="183">
        <f>'1.1รวมยาทั้งหมด(1+2+3+4)'!D17+'2.รวมวชย ทุกประเภท'!D17</f>
        <v>8465</v>
      </c>
      <c r="E17" s="183">
        <f>'1.1รวมยาทั้งหมด(1+2+3+4)'!E17+'2.รวมวชย ทุกประเภท'!E17</f>
        <v>15226</v>
      </c>
      <c r="F17" s="183">
        <f>'1.1รวมยาทั้งหมด(1+2+3+4)'!F17+'2.รวมวชย ทุกประเภท'!F17</f>
        <v>0</v>
      </c>
      <c r="G17" s="183">
        <f>'1.1รวมยาทั้งหมด(1+2+3+4)'!G17+'2.รวมวชย ทุกประเภท'!G17</f>
        <v>0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36886.79</v>
      </c>
      <c r="P17" s="313">
        <f t="shared" si="0"/>
        <v>3.0456998439977165E-2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2996.92</v>
      </c>
      <c r="D18" s="183">
        <f>'1.1รวมยาทั้งหมด(1+2+3+4)'!D18+'2.รวมวชย ทุกประเภท'!D18</f>
        <v>5124.78</v>
      </c>
      <c r="E18" s="183">
        <f>'1.1รวมยาทั้งหมด(1+2+3+4)'!E18+'2.รวมวชย ทุกประเภท'!E18</f>
        <v>16166.35</v>
      </c>
      <c r="F18" s="183">
        <f>'1.1รวมยาทั้งหมด(1+2+3+4)'!F18+'2.รวมวชย ทุกประเภท'!F18</f>
        <v>0</v>
      </c>
      <c r="G18" s="183">
        <f>'1.1รวมยาทั้งหมด(1+2+3+4)'!G18+'2.รวมวชย ทุกประเภท'!G18</f>
        <v>0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24288.05</v>
      </c>
      <c r="P18" s="313">
        <f t="shared" si="0"/>
        <v>2.0054363661356472E-2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12441.12</v>
      </c>
      <c r="D19" s="183">
        <f>'1.1รวมยาทั้งหมด(1+2+3+4)'!D19+'2.รวมวชย ทุกประเภท'!D19</f>
        <v>17728.82</v>
      </c>
      <c r="E19" s="183">
        <f>'1.1รวมยาทั้งหมด(1+2+3+4)'!E19+'2.รวมวชย ทุกประเภท'!E19</f>
        <v>17978.34</v>
      </c>
      <c r="F19" s="183">
        <f>'1.1รวมยาทั้งหมด(1+2+3+4)'!F19+'2.รวมวชย ทุกประเภท'!F19</f>
        <v>0</v>
      </c>
      <c r="G19" s="183">
        <f>'1.1รวมยาทั้งหมด(1+2+3+4)'!G19+'2.รวมวชย ทุกประเภท'!G19</f>
        <v>0</v>
      </c>
      <c r="H19" s="183">
        <f>'1.1รวมยาทั้งหมด(1+2+3+4)'!H19+'2.รวมวชย ทุกประเภท'!H19</f>
        <v>0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48148.28</v>
      </c>
      <c r="P19" s="313">
        <f t="shared" si="0"/>
        <v>3.9755481267076467E-2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14468.26</v>
      </c>
      <c r="E20" s="183">
        <f>'1.1รวมยาทั้งหมด(1+2+3+4)'!E20+'2.รวมวชย ทุกประเภท'!E20</f>
        <v>16194.1</v>
      </c>
      <c r="F20" s="183">
        <f>'1.1รวมยาทั้งหมด(1+2+3+4)'!F20+'2.รวมวชย ทุกประเภท'!F20</f>
        <v>0</v>
      </c>
      <c r="G20" s="183">
        <f>'1.1รวมยาทั้งหมด(1+2+3+4)'!G20+'2.รวมวชย ทุกประเภท'!G20</f>
        <v>0</v>
      </c>
      <c r="H20" s="183">
        <f>'1.1รวมยาทั้งหมด(1+2+3+4)'!H20+'2.รวมวชย ทุกประเภท'!H20</f>
        <v>0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30662.36</v>
      </c>
      <c r="P20" s="313">
        <f t="shared" si="0"/>
        <v>2.5317558147131214E-2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16972.809999999998</v>
      </c>
      <c r="D21" s="183">
        <f>'1.1รวมยาทั้งหมด(1+2+3+4)'!D21+'2.รวมวชย ทุกประเภท'!D21</f>
        <v>18337.12</v>
      </c>
      <c r="E21" s="183">
        <f>'1.1รวมยาทั้งหมด(1+2+3+4)'!E21+'2.รวมวชย ทุกประเภท'!E21</f>
        <v>15810.06</v>
      </c>
      <c r="F21" s="183">
        <f>'1.1รวมยาทั้งหมด(1+2+3+4)'!F21+'2.รวมวชย ทุกประเภท'!F21</f>
        <v>0</v>
      </c>
      <c r="G21" s="183">
        <f>'1.1รวมยาทั้งหมด(1+2+3+4)'!G21+'2.รวมวชย ทุกประเภท'!G21</f>
        <v>0</v>
      </c>
      <c r="H21" s="183">
        <f>'1.1รวมยาทั้งหมด(1+2+3+4)'!H21+'2.รวมวชย ทุกประเภท'!H21</f>
        <v>0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51119.989999999991</v>
      </c>
      <c r="P21" s="313">
        <f t="shared" si="0"/>
        <v>4.2209188050292473E-2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7507.46</v>
      </c>
      <c r="D22" s="183">
        <f>'1.1รวมยาทั้งหมด(1+2+3+4)'!D22+'2.รวมวชย ทุกประเภท'!D22</f>
        <v>22914.03</v>
      </c>
      <c r="E22" s="183">
        <f>'1.1รวมยาทั้งหมด(1+2+3+4)'!E22+'2.รวมวชย ทุกประเภท'!E22</f>
        <v>11800.92</v>
      </c>
      <c r="F22" s="183">
        <f>'1.1รวมยาทั้งหมด(1+2+3+4)'!F22+'2.รวมวชย ทุกประเภท'!F22</f>
        <v>0</v>
      </c>
      <c r="G22" s="183">
        <f>'1.1รวมยาทั้งหมด(1+2+3+4)'!G22+'2.รวมวชย ทุกประเภท'!G22</f>
        <v>0</v>
      </c>
      <c r="H22" s="183">
        <f>'1.1รวมยาทั้งหมด(1+2+3+4)'!H22+'2.รวมวชย ทุกประเภท'!H22</f>
        <v>0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42222.409999999996</v>
      </c>
      <c r="P22" s="313">
        <f t="shared" si="0"/>
        <v>3.4862558533883703E-2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339459.35</v>
      </c>
      <c r="D23" s="188">
        <f t="shared" ref="D23:O23" si="2">SUM(D5:D22)</f>
        <v>416851.29000000004</v>
      </c>
      <c r="E23" s="188">
        <f t="shared" si="2"/>
        <v>454799.83999999997</v>
      </c>
      <c r="F23" s="188">
        <f t="shared" si="2"/>
        <v>0</v>
      </c>
      <c r="G23" s="188">
        <f t="shared" si="2"/>
        <v>0</v>
      </c>
      <c r="H23" s="188">
        <f t="shared" si="2"/>
        <v>0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1211110.4800000002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67</v>
      </c>
      <c r="B27" s="207" t="s">
        <v>25</v>
      </c>
      <c r="C27" s="205">
        <f>C23+C26</f>
        <v>339459.35</v>
      </c>
      <c r="D27" s="205">
        <f t="shared" ref="D27:N27" si="5">D23+D26</f>
        <v>416851.29000000004</v>
      </c>
      <c r="E27" s="205">
        <f t="shared" si="5"/>
        <v>454799.83999999997</v>
      </c>
      <c r="F27" s="205">
        <f t="shared" si="5"/>
        <v>0</v>
      </c>
      <c r="G27" s="205">
        <f t="shared" si="5"/>
        <v>0</v>
      </c>
      <c r="H27" s="205">
        <f t="shared" si="5"/>
        <v>0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1211110.48</v>
      </c>
      <c r="P27" s="319">
        <f t="shared" si="0"/>
        <v>0.99999999999999978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2019-12-11T04:08:29Z</cp:lastPrinted>
  <dcterms:created xsi:type="dcterms:W3CDTF">2017-10-13T14:25:05Z</dcterms:created>
  <dcterms:modified xsi:type="dcterms:W3CDTF">2020-01-02T02:20:10Z</dcterms:modified>
</cp:coreProperties>
</file>