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7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L23" i="9" l="1"/>
  <c r="L23" i="11"/>
  <c r="L19" i="7"/>
  <c r="L27" i="6"/>
  <c r="L23" i="6"/>
  <c r="K27" i="10"/>
  <c r="L27" i="9"/>
  <c r="L27" i="8"/>
  <c r="L23" i="8"/>
  <c r="L24" i="7"/>
  <c r="L23" i="7"/>
  <c r="L27" i="7" s="1"/>
  <c r="L22" i="8"/>
  <c r="L22" i="7"/>
  <c r="L18" i="11"/>
  <c r="L18" i="7"/>
  <c r="L17" i="11"/>
  <c r="L17" i="7"/>
  <c r="L16" i="7"/>
  <c r="L15" i="11"/>
  <c r="L15" i="7"/>
  <c r="L14" i="11"/>
  <c r="L14" i="7"/>
  <c r="L13" i="9"/>
  <c r="L13" i="7"/>
  <c r="L12" i="11"/>
  <c r="L12" i="7"/>
  <c r="L11" i="7"/>
  <c r="L10" i="7"/>
  <c r="L9" i="7"/>
  <c r="L7" i="7"/>
  <c r="L6" i="11"/>
  <c r="L6" i="7"/>
  <c r="L5" i="11"/>
  <c r="L5" i="7"/>
  <c r="L26" i="4"/>
  <c r="L23" i="4"/>
  <c r="L27" i="4" s="1"/>
  <c r="L18" i="4"/>
  <c r="L16" i="2"/>
  <c r="L16" i="4"/>
  <c r="L13" i="4"/>
  <c r="L12" i="4"/>
  <c r="L11" i="4"/>
  <c r="L9" i="4"/>
  <c r="L6" i="4"/>
  <c r="L26" i="2"/>
  <c r="L24" i="2"/>
  <c r="L23" i="2"/>
  <c r="L27" i="2" s="1"/>
  <c r="L22" i="2"/>
  <c r="L20" i="2"/>
  <c r="L18" i="2"/>
  <c r="L17" i="2"/>
  <c r="L15" i="2"/>
  <c r="L14" i="2"/>
  <c r="L13" i="2"/>
  <c r="L12" i="2"/>
  <c r="L11" i="2"/>
  <c r="L10" i="2"/>
  <c r="L9" i="2"/>
  <c r="L8" i="2"/>
  <c r="L7" i="2"/>
  <c r="L6" i="2"/>
  <c r="L5" i="2"/>
  <c r="O5" i="12" l="1"/>
  <c r="O24" i="10"/>
  <c r="O21" i="10"/>
  <c r="O10" i="10"/>
  <c r="O9" i="10"/>
  <c r="O7" i="10"/>
  <c r="O6" i="10"/>
  <c r="O5" i="10"/>
  <c r="K27" i="6" l="1"/>
  <c r="K23" i="6"/>
  <c r="K9" i="6"/>
  <c r="K24" i="2"/>
  <c r="K27" i="7"/>
  <c r="K23" i="7"/>
  <c r="K27" i="8"/>
  <c r="J27" i="8"/>
  <c r="K23" i="8"/>
  <c r="K23" i="11"/>
  <c r="K27" i="9"/>
  <c r="J27" i="9"/>
  <c r="K23" i="9"/>
  <c r="K23" i="10"/>
  <c r="K23" i="12"/>
  <c r="K24" i="11"/>
  <c r="K24" i="7"/>
  <c r="K20" i="7"/>
  <c r="K17" i="7"/>
  <c r="K16" i="7"/>
  <c r="K15" i="7"/>
  <c r="K13" i="11"/>
  <c r="K13" i="7"/>
  <c r="K12" i="7"/>
  <c r="K11" i="7"/>
  <c r="K9" i="7"/>
  <c r="K8" i="11"/>
  <c r="K8" i="7"/>
  <c r="K7" i="7"/>
  <c r="K6" i="10"/>
  <c r="K6" i="11"/>
  <c r="K6" i="7"/>
  <c r="K5" i="7"/>
  <c r="K27" i="4"/>
  <c r="K23" i="4"/>
  <c r="K21" i="4"/>
  <c r="K20" i="4"/>
  <c r="K16" i="4"/>
  <c r="K15" i="4"/>
  <c r="K6" i="4"/>
  <c r="J14" i="4"/>
  <c r="K27" i="2"/>
  <c r="K23" i="2"/>
  <c r="K22" i="2"/>
  <c r="K21" i="2"/>
  <c r="K20" i="2"/>
  <c r="K16" i="2"/>
  <c r="K12" i="2"/>
  <c r="K11" i="2"/>
  <c r="K9" i="2"/>
  <c r="K7" i="2"/>
  <c r="K6" i="2"/>
  <c r="K5" i="2"/>
  <c r="J23" i="6" l="1"/>
  <c r="J23" i="9"/>
  <c r="J27" i="7"/>
  <c r="J23" i="7"/>
  <c r="J22" i="7"/>
  <c r="J23" i="8"/>
  <c r="J23" i="11"/>
  <c r="J22" i="11"/>
  <c r="J21" i="7"/>
  <c r="J19" i="7"/>
  <c r="J18" i="7"/>
  <c r="J16" i="7"/>
  <c r="J15" i="7"/>
  <c r="J13" i="7"/>
  <c r="J12" i="11"/>
  <c r="J12" i="7"/>
  <c r="J11" i="7"/>
  <c r="J8" i="7"/>
  <c r="J7" i="11"/>
  <c r="J7" i="7"/>
  <c r="J6" i="7"/>
  <c r="J6" i="4"/>
  <c r="J7" i="4"/>
  <c r="J23" i="4"/>
  <c r="J27" i="4" s="1"/>
  <c r="J5" i="11"/>
  <c r="J5" i="7"/>
  <c r="J24" i="4"/>
  <c r="J22" i="4"/>
  <c r="J21" i="4"/>
  <c r="J15" i="4"/>
  <c r="J12" i="4"/>
  <c r="J8" i="4"/>
  <c r="J5" i="4"/>
  <c r="J27" i="2"/>
  <c r="J26" i="2"/>
  <c r="J24" i="2"/>
  <c r="J23" i="2"/>
  <c r="J22" i="2"/>
  <c r="J21" i="2"/>
  <c r="J19" i="2"/>
  <c r="J18" i="2"/>
  <c r="J16" i="2"/>
  <c r="J13" i="2"/>
  <c r="J12" i="2"/>
  <c r="J11" i="2"/>
  <c r="J10" i="2"/>
  <c r="J9" i="2"/>
  <c r="J8" i="2"/>
  <c r="J7" i="2"/>
  <c r="J6" i="2"/>
  <c r="J5" i="2"/>
  <c r="I27" i="9" l="1"/>
  <c r="I23" i="9"/>
  <c r="I23" i="11"/>
  <c r="I27" i="8"/>
  <c r="I23" i="8"/>
  <c r="I27" i="7"/>
  <c r="I23" i="7"/>
  <c r="I24" i="9"/>
  <c r="I24" i="7"/>
  <c r="I22" i="11"/>
  <c r="I22" i="7"/>
  <c r="I21" i="7"/>
  <c r="I20" i="7"/>
  <c r="I19" i="7"/>
  <c r="I18" i="7"/>
  <c r="I17" i="7"/>
  <c r="I16" i="7"/>
  <c r="I15" i="11"/>
  <c r="I15" i="7"/>
  <c r="I14" i="7"/>
  <c r="I13" i="7"/>
  <c r="I11" i="7"/>
  <c r="I11" i="2"/>
  <c r="I6" i="7"/>
  <c r="I5" i="7"/>
  <c r="I27" i="4"/>
  <c r="I26" i="4"/>
  <c r="I24" i="4"/>
  <c r="I23" i="4"/>
  <c r="I22" i="4"/>
  <c r="I21" i="4"/>
  <c r="I21" i="2"/>
  <c r="I20" i="4"/>
  <c r="I18" i="4"/>
  <c r="I16" i="4"/>
  <c r="I15" i="4"/>
  <c r="I12" i="4"/>
  <c r="I10" i="4"/>
  <c r="I9" i="4"/>
  <c r="I8" i="4"/>
  <c r="I5" i="4"/>
  <c r="I24" i="2"/>
  <c r="I23" i="2"/>
  <c r="I27" i="2" s="1"/>
  <c r="I22" i="2"/>
  <c r="I20" i="2"/>
  <c r="I19" i="2"/>
  <c r="I17" i="2"/>
  <c r="I15" i="2"/>
  <c r="I10" i="2"/>
  <c r="I8" i="2"/>
  <c r="I6" i="2"/>
  <c r="I5" i="2"/>
  <c r="I27" i="6" l="1"/>
  <c r="I23" i="6"/>
  <c r="H27" i="10" l="1"/>
  <c r="H23" i="10"/>
  <c r="H27" i="9"/>
  <c r="H23" i="9"/>
  <c r="H27" i="11"/>
  <c r="H23" i="11"/>
  <c r="H27" i="8"/>
  <c r="H23" i="8"/>
  <c r="H27" i="7"/>
  <c r="H23" i="7"/>
  <c r="H27" i="6"/>
  <c r="H23" i="6"/>
  <c r="H5" i="4"/>
  <c r="H24" i="7"/>
  <c r="H22" i="11"/>
  <c r="H21" i="7"/>
  <c r="H20" i="7"/>
  <c r="H19" i="7"/>
  <c r="H15" i="11"/>
  <c r="H15" i="7"/>
  <c r="H14" i="7"/>
  <c r="H13" i="11"/>
  <c r="H13" i="7"/>
  <c r="H12" i="7"/>
  <c r="H10" i="7"/>
  <c r="H8" i="7"/>
  <c r="H7" i="7"/>
  <c r="H5" i="7"/>
  <c r="H23" i="4"/>
  <c r="H27" i="4" s="1"/>
  <c r="H22" i="4"/>
  <c r="H21" i="4"/>
  <c r="H14" i="4"/>
  <c r="H9" i="4"/>
  <c r="H7" i="4"/>
  <c r="H6" i="4"/>
  <c r="H5" i="2"/>
  <c r="H24" i="2"/>
  <c r="H23" i="2"/>
  <c r="H27" i="2" s="1"/>
  <c r="H21" i="2"/>
  <c r="H19" i="2"/>
  <c r="H18" i="2"/>
  <c r="H17" i="2"/>
  <c r="H16" i="2"/>
  <c r="H15" i="2"/>
  <c r="H14" i="2"/>
  <c r="H12" i="2"/>
  <c r="H10" i="2"/>
  <c r="H9" i="2"/>
  <c r="H7" i="2"/>
  <c r="H6" i="2"/>
  <c r="G23" i="6" l="1"/>
  <c r="G27" i="9"/>
  <c r="G27" i="8"/>
  <c r="G27" i="7"/>
  <c r="G24" i="7"/>
  <c r="G23" i="9"/>
  <c r="G23" i="11"/>
  <c r="G23" i="8"/>
  <c r="G8" i="7"/>
  <c r="G23" i="7" s="1"/>
  <c r="G22" i="7"/>
  <c r="G21" i="7"/>
  <c r="G20" i="11"/>
  <c r="G20" i="7"/>
  <c r="G19" i="11"/>
  <c r="G19" i="8"/>
  <c r="G19" i="7"/>
  <c r="G18" i="11"/>
  <c r="G18" i="7"/>
  <c r="G16" i="11"/>
  <c r="G16" i="7"/>
  <c r="G15" i="7"/>
  <c r="G13" i="7"/>
  <c r="G11" i="7"/>
  <c r="G10" i="7"/>
  <c r="G9" i="7"/>
  <c r="G7" i="9"/>
  <c r="G7" i="7"/>
  <c r="G5" i="11"/>
  <c r="G5" i="7"/>
  <c r="G27" i="4"/>
  <c r="G24" i="2"/>
  <c r="G24" i="4"/>
  <c r="G23" i="4"/>
  <c r="G21" i="4"/>
  <c r="G20" i="4"/>
  <c r="G18" i="4"/>
  <c r="G16" i="4"/>
  <c r="G12" i="4"/>
  <c r="G11" i="4"/>
  <c r="G10" i="4"/>
  <c r="G9" i="4"/>
  <c r="G7" i="4"/>
  <c r="G6" i="4"/>
  <c r="G27" i="2"/>
  <c r="G23" i="2"/>
  <c r="G22" i="2"/>
  <c r="G21" i="2"/>
  <c r="G20" i="2"/>
  <c r="G18" i="2"/>
  <c r="G16" i="2"/>
  <c r="G15" i="2"/>
  <c r="G13" i="2"/>
  <c r="G12" i="2"/>
  <c r="G11" i="2"/>
  <c r="G9" i="2"/>
  <c r="G8" i="2"/>
  <c r="G7" i="2"/>
  <c r="G6" i="2"/>
  <c r="G5" i="2"/>
  <c r="F24" i="2" l="1"/>
  <c r="F17" i="11" l="1"/>
  <c r="F17" i="7"/>
  <c r="F17" i="2"/>
  <c r="F23" i="6" l="1"/>
  <c r="F27" i="8"/>
  <c r="F23" i="8"/>
  <c r="F27" i="11"/>
  <c r="F23" i="11"/>
  <c r="F23" i="9"/>
  <c r="F24" i="7"/>
  <c r="F23" i="7"/>
  <c r="F27" i="7" s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3" i="4"/>
  <c r="F27" i="4" s="1"/>
  <c r="F21" i="4"/>
  <c r="F16" i="4"/>
  <c r="F15" i="4"/>
  <c r="F12" i="4"/>
  <c r="F11" i="4"/>
  <c r="F9" i="4"/>
  <c r="F8" i="4"/>
  <c r="F7" i="4"/>
  <c r="F6" i="4"/>
  <c r="F5" i="4"/>
  <c r="F23" i="2"/>
  <c r="F27" i="2" s="1"/>
  <c r="F22" i="2"/>
  <c r="F21" i="2"/>
  <c r="F20" i="2"/>
  <c r="F15" i="2"/>
  <c r="F13" i="2"/>
  <c r="F12" i="2"/>
  <c r="F11" i="2"/>
  <c r="F10" i="2"/>
  <c r="F9" i="2"/>
  <c r="F8" i="2"/>
  <c r="F6" i="2"/>
  <c r="F5" i="2"/>
  <c r="D23" i="12" l="1"/>
  <c r="E23" i="9"/>
  <c r="D23" i="9"/>
  <c r="E27" i="11"/>
  <c r="E23" i="11"/>
  <c r="D23" i="11"/>
  <c r="E23" i="8"/>
  <c r="D23" i="8"/>
  <c r="E27" i="7"/>
  <c r="D27" i="7"/>
  <c r="E23" i="7"/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6" i="13" l="1"/>
  <c r="N26" i="13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I24" i="14"/>
  <c r="I23" i="13"/>
  <c r="I27" i="13" s="1"/>
  <c r="J27" i="13" l="1"/>
  <c r="K27" i="13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G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C2" i="14"/>
  <c r="H26" i="13"/>
  <c r="G26" i="13"/>
  <c r="F26" i="13"/>
  <c r="E26" i="13"/>
  <c r="O19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13" i="13" l="1"/>
  <c r="O24" i="14"/>
  <c r="O25" i="14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12" i="3"/>
  <c r="P21" i="3"/>
  <c r="P19" i="3"/>
  <c r="P24" i="3"/>
  <c r="P23" i="3"/>
  <c r="O18" i="14" l="1"/>
  <c r="O13" i="14"/>
  <c r="O11" i="14"/>
  <c r="O9" i="14"/>
  <c r="P26" i="4"/>
  <c r="O10" i="14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O23" i="2"/>
  <c r="P23" i="2" s="1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<sst xmlns="http://schemas.openxmlformats.org/spreadsheetml/2006/main" count="734" uniqueCount="86">
  <si>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</si>
  <si>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</si>
  <si>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</si>
  <si>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</si>
  <si>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</si>
  <si>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</si>
  <si>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</si>
  <si>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</si>
  <si>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</si>
  <si>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</si>
  <si>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</si>
  <si>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</si>
  <si>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</si>
  <si>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</si>
  <si>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</si>
  <si>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</si>
  <si>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</si>
  <si>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</si>
  <si>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</si>
  <si>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</si>
  <si>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</si>
  <si>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</si>
  <si>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</si>
  <si>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</si>
  <si>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</si>
  <si>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</si>
  <si>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</si>
  <si>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</si>
  <si>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</si>
  <si>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</si>
  <si>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</si>
  <si>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</si>
  <si>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</si>
  <si>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</si>
  <si>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</si>
  <si>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</si>
  <si>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</si>
  <si>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</si>
  <si>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</si>
  <si>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</si>
  <si>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</si>
  <si>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</si>
  <si>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</si>
  <si>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</si>
  <si>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</si>
  <si>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</si>
  <si>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</si>
  <si>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</si>
  <si>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</si>
  <si>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</si>
  <si>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</si>
  <si>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</si>
  <si>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</si>
  <si>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</si>
  <si>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</si>
  <si>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</si>
  <si>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</si>
  <si>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</si>
  <si>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</si>
  <si>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</si>
  <si>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</si>
  <si>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</si>
  <si>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</si>
  <si>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</si>
  <si>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</si>
  <si>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</si>
  <si>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</si>
  <si>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</si>
  <si>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</si>
  <si>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</si>
  <si>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</si>
  <si>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</si>
  <si>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</si>
  <si>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</si>
  <si>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</si>
  <si>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</si>
  <si>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</si>
  <si>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</si>
  <si>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</si>
  <si>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</si>
  <si>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</si>
  <si>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</si>
  <si>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</si>
  <si>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</si>
  <si>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</si>
  <si>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27/6/62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</si>
</sst>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0"/>
    <numFmt numFmtId="192" formatCode="#,##0.0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190" fontId="13" fillId="4" borderId="1" xfId="0" applyNumberFormat="1" applyFont="1" applyFill="1" applyBorder="1" applyAlignment="1">
      <alignment horizontal="right" vertical="center" shrinkToFit="1"/>
    </xf>
    <xf numFmtId="191" fontId="17" fillId="5" borderId="1" xfId="0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192" fontId="10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241970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4381273.0529500004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5477749.0729499999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5477749.0729499999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27/6/62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8" t="s">
        <v>49</v>
      </c>
      <c r="M29" s="368"/>
      <c r="N29" s="368"/>
      <c r="O29" s="314"/>
      <c r="P29" s="360"/>
    </row>
    <row r="30" spans="1:16" s="115" customFormat="1" ht="18" customHeight="1" x14ac:dyDescent="0.45">
      <c r="A30" s="258"/>
      <c r="B30" s="260"/>
      <c r="G30" s="368" t="s">
        <v>80</v>
      </c>
      <c r="H30" s="368"/>
      <c r="I30" s="368"/>
      <c r="J30" s="121"/>
      <c r="K30" s="121"/>
      <c r="L30" s="368"/>
      <c r="M30" s="368"/>
      <c r="N30" s="368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K26" sqref="K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27/6/62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>
        <f>10354.78-432-440-314.88+996</f>
        <v>10163.900000000001</v>
      </c>
      <c r="H5" s="36">
        <f>7458.02-440-63</f>
        <v>6955.02</v>
      </c>
      <c r="I5" s="36">
        <f>16025.64+525-238-210.2-1100-3120</f>
        <v>11882.439999999999</v>
      </c>
      <c r="J5" s="36">
        <f>11339.15-2520-550-440-220+3873.4+996+119+138.03</f>
        <v>12735.58</v>
      </c>
      <c r="K5" s="36">
        <f>238+13700.55-1560-63-315-3745-1605</f>
        <v>6650.5499999999993</v>
      </c>
      <c r="L5" s="36">
        <f>14316.05-550-1650-5040</f>
        <v>7076.0499999999993</v>
      </c>
      <c r="M5" s="36"/>
      <c r="N5" s="36"/>
      <c r="O5" s="299">
        <f>SUM(C5:N5)</f>
        <v>95400.35000000002</v>
      </c>
      <c r="P5" s="290">
        <f t="shared" ref="P5:P27" si="0">O5/$O$23</f>
        <v>0.13734084472419045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>
        <v>3744.7</v>
      </c>
      <c r="H6" s="36">
        <v>6771.65</v>
      </c>
      <c r="I6" s="36">
        <f>6281.2-210.2+1241.2</f>
        <v>7312.2</v>
      </c>
      <c r="J6" s="36">
        <f>960+5643.25+3500+500</f>
        <v>10603.25</v>
      </c>
      <c r="K6" s="36">
        <f>7831.85-642-642+175</f>
        <v>6722.85</v>
      </c>
      <c r="L6" s="36">
        <f>11160.25-2520-550-550-550-700</f>
        <v>6290.25</v>
      </c>
      <c r="M6" s="36"/>
      <c r="N6" s="36"/>
      <c r="O6" s="299">
        <f t="shared" ref="O6:O27" si="1">SUM(C6:N6)</f>
        <v>61068.85</v>
      </c>
      <c r="P6" s="290">
        <f t="shared" si="0"/>
        <v>8.7916317344065034E-2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>
        <f>1144.9+6899.76-79.18-550-135</f>
        <v>7280.48</v>
      </c>
      <c r="H7" s="36">
        <f>3338.45+1712+1000</f>
        <v>6050.45</v>
      </c>
      <c r="I7" s="36">
        <v>0</v>
      </c>
      <c r="J7" s="36">
        <f>4849.9-2520+350+695</f>
        <v>3374.8999999999996</v>
      </c>
      <c r="K7" s="36">
        <f>4244.5+750+285+1390+1241</f>
        <v>7910.5</v>
      </c>
      <c r="L7" s="36">
        <f>1604.4+600</f>
        <v>2204.4</v>
      </c>
      <c r="M7" s="36"/>
      <c r="N7" s="36"/>
      <c r="O7" s="299">
        <f t="shared" si="1"/>
        <v>39981.500500000002</v>
      </c>
      <c r="P7" s="290">
        <f t="shared" si="0"/>
        <v>5.7558416211372823E-2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>
        <f>179+74.9+1498+1027+330+240.75</f>
        <v>3349.65</v>
      </c>
      <c r="H8" s="36">
        <f>5303.57-1560-550</f>
        <v>3193.5699999999997</v>
      </c>
      <c r="I8" s="36">
        <v>4421.22</v>
      </c>
      <c r="J8" s="36">
        <f>654.98+190+270</f>
        <v>1114.98</v>
      </c>
      <c r="K8" s="36">
        <f>224.7+235.4+230+796.8+642+377.5+347.75+347.75</f>
        <v>3201.9</v>
      </c>
      <c r="L8" s="36">
        <v>2466.5</v>
      </c>
      <c r="M8" s="36"/>
      <c r="N8" s="36"/>
      <c r="O8" s="299">
        <f t="shared" si="1"/>
        <v>30755.720000000005</v>
      </c>
      <c r="P8" s="290">
        <f t="shared" si="0"/>
        <v>4.4276740755151089E-2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>
        <f>3822.28-314.88+35+35+70+44+48.15+48.15</f>
        <v>3787.7000000000003</v>
      </c>
      <c r="H9" s="36">
        <v>2048</v>
      </c>
      <c r="I9" s="36">
        <v>0</v>
      </c>
      <c r="J9" s="36">
        <v>5368.8</v>
      </c>
      <c r="K9" s="36">
        <f>856+66+492.1+500+695+695+810-210+330+1400+300+695</f>
        <v>6629.1</v>
      </c>
      <c r="L9" s="36">
        <f>9006.25+879+1100+342.4+6899.4</f>
        <v>18227.05</v>
      </c>
      <c r="M9" s="36"/>
      <c r="N9" s="36"/>
      <c r="O9" s="299">
        <f t="shared" si="1"/>
        <v>57342.850000000006</v>
      </c>
      <c r="P9" s="290">
        <f t="shared" si="0"/>
        <v>8.2552270069161618E-2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>
        <f>1940.2+240.75+230.05+230.05</f>
        <v>2641.05</v>
      </c>
      <c r="H10" s="36">
        <f>2006.55-118.5</f>
        <v>1888.05</v>
      </c>
      <c r="I10" s="36">
        <v>4138.66</v>
      </c>
      <c r="J10" s="36">
        <v>0</v>
      </c>
      <c r="K10" s="36">
        <v>0</v>
      </c>
      <c r="L10" s="36">
        <f>5929.75+2685.1</f>
        <v>8614.85</v>
      </c>
      <c r="M10" s="36"/>
      <c r="N10" s="36"/>
      <c r="O10" s="299">
        <f t="shared" si="1"/>
        <v>32742.989999999998</v>
      </c>
      <c r="P10" s="290">
        <f t="shared" si="0"/>
        <v>4.7137666742267915E-2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>
        <f>3739.8+856-2520+1400</f>
        <v>3475.8</v>
      </c>
      <c r="H11" s="36">
        <v>2006.55</v>
      </c>
      <c r="I11" s="36">
        <f>856+700+738.3+347.75</f>
        <v>2642.05</v>
      </c>
      <c r="J11" s="36">
        <f>5849.65-2520</f>
        <v>3329.6499999999996</v>
      </c>
      <c r="K11" s="36">
        <f>246+230+420+561.75+135+347.75</f>
        <v>1940.5</v>
      </c>
      <c r="L11" s="36">
        <f>155+2951.5</f>
        <v>3106.5</v>
      </c>
      <c r="M11" s="36"/>
      <c r="N11" s="36"/>
      <c r="O11" s="299">
        <f t="shared" si="1"/>
        <v>22710.86</v>
      </c>
      <c r="P11" s="290">
        <f t="shared" si="0"/>
        <v>3.2695149407867233E-2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>
        <v>0</v>
      </c>
      <c r="H12" s="36">
        <f>6667.3-1400</f>
        <v>5267.3</v>
      </c>
      <c r="I12" s="36">
        <v>0</v>
      </c>
      <c r="J12" s="36">
        <f>4858.4-210-336-1400</f>
        <v>2912.3999999999996</v>
      </c>
      <c r="K12" s="36">
        <f>8632-1400+856</f>
        <v>8088</v>
      </c>
      <c r="L12" s="36">
        <f>3932.85-190-700-256.8</f>
        <v>2786.0499999999997</v>
      </c>
      <c r="M12" s="36"/>
      <c r="N12" s="36"/>
      <c r="O12" s="299">
        <f t="shared" si="1"/>
        <v>33076.380000000005</v>
      </c>
      <c r="P12" s="290">
        <f t="shared" si="0"/>
        <v>4.761762372589113E-2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>
        <f>3615.26+199.2+1230+22-1008+849.15</f>
        <v>4907.6099999999997</v>
      </c>
      <c r="H13" s="36">
        <f>5782.43+340+695.5-224-1050</f>
        <v>5543.93</v>
      </c>
      <c r="I13" s="36">
        <f>3909.2-1008</f>
        <v>2901.2</v>
      </c>
      <c r="J13" s="36">
        <f>4314.7-1764-35+1007</f>
        <v>3522.7</v>
      </c>
      <c r="K13" s="36">
        <f>6773.65-700-220-224-450</f>
        <v>5179.6499999999996</v>
      </c>
      <c r="L13" s="36">
        <f>10139.48-7560+396</f>
        <v>2975.4799999999996</v>
      </c>
      <c r="M13" s="36"/>
      <c r="N13" s="36"/>
      <c r="O13" s="299">
        <f t="shared" si="1"/>
        <v>42510.41</v>
      </c>
      <c r="P13" s="290">
        <f t="shared" si="0"/>
        <v>6.1199100621451299E-2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>
        <v>0</v>
      </c>
      <c r="H14" s="36">
        <f>2453.28+1068.5</f>
        <v>3521.78</v>
      </c>
      <c r="I14" s="36">
        <f>2240.73-350</f>
        <v>1890.73</v>
      </c>
      <c r="J14" s="36">
        <v>2790.9</v>
      </c>
      <c r="K14" s="36">
        <v>1454.94</v>
      </c>
      <c r="L14" s="36">
        <f>4828.2-110-350-1260</f>
        <v>3108.2</v>
      </c>
      <c r="M14" s="36"/>
      <c r="N14" s="36"/>
      <c r="O14" s="299">
        <f t="shared" si="1"/>
        <v>23340.61</v>
      </c>
      <c r="P14" s="290">
        <f t="shared" si="0"/>
        <v>3.3601754016393925E-2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>
        <f>330+1712+1230</f>
        <v>3272</v>
      </c>
      <c r="H15" s="36">
        <f>675+2923.1-110-330</f>
        <v>3158.1</v>
      </c>
      <c r="I15" s="36">
        <f>4286-450-330-330</f>
        <v>3176</v>
      </c>
      <c r="J15" s="36">
        <f>1517.42-210</f>
        <v>1307.42</v>
      </c>
      <c r="K15" s="36">
        <f>3464.34-220</f>
        <v>3244.34</v>
      </c>
      <c r="L15" s="36">
        <f>5832.45-220+240+405+165+481.5+3980</f>
        <v>10883.95</v>
      </c>
      <c r="M15" s="36"/>
      <c r="N15" s="36"/>
      <c r="O15" s="299">
        <f t="shared" si="1"/>
        <v>39547.06</v>
      </c>
      <c r="P15" s="290">
        <f t="shared" si="0"/>
        <v>5.6932984278970061E-2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>
        <f>2603.34-216-175+90+90+700</f>
        <v>3092.34</v>
      </c>
      <c r="H16" s="36">
        <v>1167.1500000000001</v>
      </c>
      <c r="I16" s="36">
        <f>2379.98-105.1-350</f>
        <v>1924.88</v>
      </c>
      <c r="J16" s="36">
        <f>2419-220-395+1722+525</f>
        <v>4051</v>
      </c>
      <c r="K16" s="36">
        <f>1680.03-79.18-220</f>
        <v>1380.85</v>
      </c>
      <c r="L16" s="36">
        <f>1312.02+695.5+32.1</f>
        <v>2039.62</v>
      </c>
      <c r="M16" s="36"/>
      <c r="N16" s="36"/>
      <c r="O16" s="299">
        <f t="shared" si="1"/>
        <v>20841.53</v>
      </c>
      <c r="P16" s="290">
        <f t="shared" si="0"/>
        <v>3.0004012936478284E-2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>
        <v>0</v>
      </c>
      <c r="H17" s="36">
        <v>0</v>
      </c>
      <c r="I17" s="36">
        <f>6578.68-79.18-1050-105.1-135</f>
        <v>5209.3999999999996</v>
      </c>
      <c r="J17" s="36">
        <v>0</v>
      </c>
      <c r="K17" s="36">
        <f>496.48+1481.95+1809</f>
        <v>3787.4300000000003</v>
      </c>
      <c r="L17" s="36">
        <f>30285.34+16.69-450-5040-875-171.2+100-1050</f>
        <v>22815.829999999998</v>
      </c>
      <c r="M17" s="36"/>
      <c r="N17" s="36"/>
      <c r="O17" s="299">
        <f t="shared" si="1"/>
        <v>43463.97</v>
      </c>
      <c r="P17" s="290">
        <f t="shared" si="0"/>
        <v>6.2571870594467116E-2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>
        <f>1600.87-350-55</f>
        <v>1195.8699999999999</v>
      </c>
      <c r="H18" s="36">
        <v>761.01</v>
      </c>
      <c r="I18" s="36">
        <f>160+108.72</f>
        <v>268.72000000000003</v>
      </c>
      <c r="J18" s="36">
        <f>1927.82-450+858.14</f>
        <v>2335.96</v>
      </c>
      <c r="K18" s="36">
        <v>0</v>
      </c>
      <c r="L18" s="36">
        <f>4094-79.18-330-700</f>
        <v>2984.82</v>
      </c>
      <c r="M18" s="36"/>
      <c r="N18" s="36"/>
      <c r="O18" s="299">
        <f t="shared" si="1"/>
        <v>18635.969999999998</v>
      </c>
      <c r="P18" s="290">
        <f t="shared" si="0"/>
        <v>2.6828830943017194E-2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>
        <f>800+90+235.4+390</f>
        <v>1515.4</v>
      </c>
      <c r="H19" s="36">
        <f>5653.15-1350-400-135</f>
        <v>3768.1499999999996</v>
      </c>
      <c r="I19" s="36">
        <f>75+342.4+996</f>
        <v>1413.4</v>
      </c>
      <c r="J19" s="36">
        <f>6035.5-1350-350</f>
        <v>4335.5</v>
      </c>
      <c r="K19" s="36">
        <v>377.5</v>
      </c>
      <c r="L19" s="36">
        <f>10403.5-2520-220</f>
        <v>7663.5</v>
      </c>
      <c r="M19" s="36"/>
      <c r="N19" s="36"/>
      <c r="O19" s="299">
        <f t="shared" si="1"/>
        <v>44104.590000000004</v>
      </c>
      <c r="P19" s="290">
        <f t="shared" si="0"/>
        <v>6.3494123939944469E-2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>
        <f>330+1186.32</f>
        <v>1516.32</v>
      </c>
      <c r="H20" s="36">
        <f>2662+22+22</f>
        <v>2706</v>
      </c>
      <c r="I20" s="36">
        <f>1300.5+2440</f>
        <v>3740.5</v>
      </c>
      <c r="J20" s="36">
        <v>2457.6</v>
      </c>
      <c r="K20" s="36">
        <f>4718.82-210-700</f>
        <v>3808.8199999999997</v>
      </c>
      <c r="L20" s="36">
        <v>3750</v>
      </c>
      <c r="M20" s="36"/>
      <c r="N20" s="36"/>
      <c r="O20" s="299">
        <f t="shared" si="1"/>
        <v>25990.45</v>
      </c>
      <c r="P20" s="290">
        <f t="shared" si="0"/>
        <v>3.7416533144394491E-2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>
        <f>4865.43+498</f>
        <v>5363.43</v>
      </c>
      <c r="H21" s="36">
        <f>1727+1893.05+107</f>
        <v>3727.05</v>
      </c>
      <c r="I21" s="36">
        <f>4085.7-105.1</f>
        <v>3980.6</v>
      </c>
      <c r="J21" s="36">
        <f>1841.5+1262.8-105+150</f>
        <v>3149.3</v>
      </c>
      <c r="K21" s="36">
        <v>2233.04</v>
      </c>
      <c r="L21" s="36">
        <v>4455</v>
      </c>
      <c r="M21" s="36"/>
      <c r="N21" s="36"/>
      <c r="O21" s="299">
        <f t="shared" si="1"/>
        <v>39858.33</v>
      </c>
      <c r="P21" s="290">
        <f t="shared" si="0"/>
        <v>5.7381096730730448E-2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>
        <f>99+246.1</f>
        <v>345.1</v>
      </c>
      <c r="H22" s="36">
        <v>230.05</v>
      </c>
      <c r="I22" s="36">
        <f>3330.3+1007+1790-128-420</f>
        <v>5579.3</v>
      </c>
      <c r="J22" s="36">
        <f>135+30+246.1</f>
        <v>411.1</v>
      </c>
      <c r="K22" s="36">
        <v>183</v>
      </c>
      <c r="L22" s="36">
        <f>3135.3-110-110-420-210</f>
        <v>2285.3000000000002</v>
      </c>
      <c r="M22" s="36"/>
      <c r="N22" s="36"/>
      <c r="O22" s="299">
        <f t="shared" si="1"/>
        <v>13474.630000000001</v>
      </c>
      <c r="P22" s="290">
        <f t="shared" si="0"/>
        <v>1.9398430577517986E-2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>
        <f>E5+E6+E7+E8+E9+E9+E10+E11+E12+E13+E14+E15+E16+E17+E18+E19+E20+E21+E22</f>
        <v>81639.739999999991</v>
      </c>
      <c r="F23" s="42">
        <f>F5+F6+F7+F8+F9+F10+F11+F12+F13+F14+F15+F16+F17+F18+F19+F20+F21+F22</f>
        <v>76264.300499999983</v>
      </c>
      <c r="G23" s="42">
        <f>G5+G6+G7+G8+G9+G10+G11+G12+G13+G14+G15+G15+G16+G17+G18+G19+G20+G21+G22</f>
        <v>58923.350000000013</v>
      </c>
      <c r="H23" s="42">
        <f>H5+H6+H7+H8+H9+H10+H11+H12+H13+H14+H15+H16+H17+H18+H19+H20+H21+H22</f>
        <v>58763.810000000005</v>
      </c>
      <c r="I23" s="42">
        <f>I5+I6+I7+I8+I9+I10+I11+I12+I13+I14+I15+I16+I17+I18+I19+I20+I21+I22</f>
        <v>60481.3</v>
      </c>
      <c r="J23" s="42">
        <f>J22+J21+J20+J19+J18+J16+J15+J14+J13+J12+J11+J9+J8+J7+J6+J5</f>
        <v>63801.040000000008</v>
      </c>
      <c r="K23" s="42">
        <f>K5+K6+K7+K8+K9+K11+K12+K13+K14+K15+K16+K17+K20+K19+K21+K22</f>
        <v>62792.97</v>
      </c>
      <c r="L23" s="42">
        <f>L5+L6+L7+L8+L9+L10+L11+L12+L13+L14+L15+L16+L17+L18+L19+L20+L21+L22</f>
        <v>113733.35</v>
      </c>
      <c r="M23" s="42"/>
      <c r="N23" s="42"/>
      <c r="O23" s="54">
        <f t="shared" si="1"/>
        <v>694624.75049999997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>
        <f>26564.53</f>
        <v>26564.53</v>
      </c>
      <c r="H24" s="36">
        <f>19285.8-550</f>
        <v>18735.8</v>
      </c>
      <c r="I24" s="36">
        <f>8263+3500+2256.73</f>
        <v>14019.73</v>
      </c>
      <c r="J24" s="36">
        <v>18529.330000000002</v>
      </c>
      <c r="K24" s="36">
        <f>41074.67+2642.95-345-880</f>
        <v>42492.619999999995</v>
      </c>
      <c r="L24" s="36">
        <f>14462.5-1975-550+2720</f>
        <v>14657.5</v>
      </c>
      <c r="M24" s="36"/>
      <c r="N24" s="36"/>
      <c r="O24" s="299">
        <f t="shared" si="1"/>
        <v>217536.02999999997</v>
      </c>
      <c r="P24" s="290">
        <f t="shared" si="0"/>
        <v>0.31317057136736731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>
        <f>E23+E19</f>
        <v>90170.239999999991</v>
      </c>
      <c r="E27" s="282">
        <f>E23+E19</f>
        <v>90170.239999999991</v>
      </c>
      <c r="F27" s="362">
        <f>F24+F23</f>
        <v>108860.48049999998</v>
      </c>
      <c r="G27" s="282">
        <f>G24+G23</f>
        <v>85487.88</v>
      </c>
      <c r="H27" s="282">
        <f>H24+H23</f>
        <v>77499.61</v>
      </c>
      <c r="I27" s="282">
        <f>I24+I23</f>
        <v>74501.03</v>
      </c>
      <c r="J27" s="282">
        <f>J24+J23</f>
        <v>82330.37000000001</v>
      </c>
      <c r="K27" s="282">
        <f>K23+K24</f>
        <v>105285.59</v>
      </c>
      <c r="L27" s="282">
        <f>L23+L24</f>
        <v>128390.85</v>
      </c>
      <c r="M27" s="282"/>
      <c r="N27" s="282"/>
      <c r="O27" s="283">
        <f t="shared" si="1"/>
        <v>913641.67049999989</v>
      </c>
      <c r="P27" s="293">
        <f t="shared" si="0"/>
        <v>1.3153024994320295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6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2" zoomScaleNormal="100" workbookViewId="0">
      <selection activeCell="L28" sqref="L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27/6/62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>
        <v>0</v>
      </c>
      <c r="H5" s="36">
        <v>0</v>
      </c>
      <c r="I5" s="36">
        <v>3120</v>
      </c>
      <c r="J5" s="36">
        <v>0</v>
      </c>
      <c r="K5" s="36">
        <v>1560</v>
      </c>
      <c r="L5" s="36">
        <v>0</v>
      </c>
      <c r="M5" s="36"/>
      <c r="N5" s="36"/>
      <c r="O5" s="271">
        <f>SUM(C5:N5)</f>
        <v>12860</v>
      </c>
      <c r="P5" s="290">
        <f t="shared" ref="P5:P27" si="0">O5/$O$23</f>
        <v>0.28563813246857089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>
        <v>1750</v>
      </c>
      <c r="H6" s="36">
        <v>0</v>
      </c>
      <c r="I6" s="36">
        <v>0</v>
      </c>
      <c r="J6" s="36">
        <v>0</v>
      </c>
      <c r="K6" s="36">
        <v>1560</v>
      </c>
      <c r="L6" s="36">
        <v>0</v>
      </c>
      <c r="M6" s="36"/>
      <c r="N6" s="36"/>
      <c r="O6" s="271">
        <f t="shared" ref="O6:O27" si="1">SUM(C6:N6)</f>
        <v>7210</v>
      </c>
      <c r="P6" s="290">
        <f t="shared" si="0"/>
        <v>0.16014392963440097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>
        <v>1100</v>
      </c>
      <c r="H7" s="36">
        <v>0</v>
      </c>
      <c r="I7" s="36">
        <v>0</v>
      </c>
      <c r="J7" s="36">
        <v>2600</v>
      </c>
      <c r="K7" s="36">
        <v>0</v>
      </c>
      <c r="L7" s="36">
        <v>0</v>
      </c>
      <c r="M7" s="36"/>
      <c r="N7" s="36"/>
      <c r="O7" s="271">
        <f t="shared" si="1"/>
        <v>5940</v>
      </c>
      <c r="P7" s="290">
        <f t="shared" si="0"/>
        <v>0.13193549820087958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>
        <v>780</v>
      </c>
      <c r="H8" s="36">
        <v>1560</v>
      </c>
      <c r="I8" s="36">
        <v>0</v>
      </c>
      <c r="J8" s="36">
        <v>0</v>
      </c>
      <c r="K8" s="36">
        <v>1300</v>
      </c>
      <c r="L8" s="36">
        <v>0</v>
      </c>
      <c r="M8" s="36"/>
      <c r="N8" s="36"/>
      <c r="O8" s="271">
        <f t="shared" si="1"/>
        <v>5200</v>
      </c>
      <c r="P8" s="290">
        <f t="shared" si="0"/>
        <v>0.11549908933410333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1320</v>
      </c>
      <c r="J10" s="36">
        <v>0</v>
      </c>
      <c r="K10" s="36">
        <v>0</v>
      </c>
      <c r="L10" s="36">
        <v>1980</v>
      </c>
      <c r="M10" s="36"/>
      <c r="N10" s="36"/>
      <c r="O10" s="271">
        <f t="shared" si="1"/>
        <v>4620</v>
      </c>
      <c r="P10" s="290">
        <f t="shared" si="0"/>
        <v>0.10261649860068411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450</v>
      </c>
      <c r="L13" s="36">
        <v>0</v>
      </c>
      <c r="M13" s="36"/>
      <c r="N13" s="36"/>
      <c r="O13" s="271">
        <f t="shared" si="1"/>
        <v>450</v>
      </c>
      <c r="P13" s="290">
        <f t="shared" si="0"/>
        <v>9.9951135000666338E-3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>
        <v>0</v>
      </c>
      <c r="H15" s="36">
        <v>0</v>
      </c>
      <c r="I15" s="36">
        <v>450</v>
      </c>
      <c r="J15" s="36">
        <v>0</v>
      </c>
      <c r="K15" s="36">
        <v>0</v>
      </c>
      <c r="L15" s="36">
        <v>0</v>
      </c>
      <c r="M15" s="36"/>
      <c r="N15" s="36"/>
      <c r="O15" s="271">
        <f t="shared" si="1"/>
        <v>2700</v>
      </c>
      <c r="P15" s="290">
        <f t="shared" si="0"/>
        <v>5.9970681000399803E-2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450</v>
      </c>
      <c r="M17" s="36"/>
      <c r="N17" s="36"/>
      <c r="O17" s="271">
        <f t="shared" si="1"/>
        <v>450</v>
      </c>
      <c r="P17" s="290">
        <f t="shared" si="0"/>
        <v>9.9951135000666338E-3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>
        <v>0</v>
      </c>
      <c r="L18" s="36">
        <v>0</v>
      </c>
      <c r="M18" s="36"/>
      <c r="N18" s="36"/>
      <c r="O18" s="271">
        <f t="shared" si="1"/>
        <v>900</v>
      </c>
      <c r="P18" s="290">
        <f t="shared" si="0"/>
        <v>1.9990227000133268E-2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f>1350</f>
        <v>1350</v>
      </c>
      <c r="H19" s="36">
        <v>1350</v>
      </c>
      <c r="I19" s="36">
        <v>0</v>
      </c>
      <c r="J19" s="36">
        <v>1350</v>
      </c>
      <c r="K19" s="36">
        <v>0</v>
      </c>
      <c r="L19" s="36">
        <v>0</v>
      </c>
      <c r="M19" s="36"/>
      <c r="N19" s="36"/>
      <c r="O19" s="271">
        <f t="shared" si="1"/>
        <v>4050</v>
      </c>
      <c r="P19" s="290">
        <f t="shared" si="0"/>
        <v>8.9956021500599712E-2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71">
        <f t="shared" si="1"/>
        <v>450</v>
      </c>
      <c r="P20" s="290">
        <f t="shared" si="0"/>
        <v>9.9951135000666338E-3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f>110+110+420+210</f>
        <v>850</v>
      </c>
      <c r="M22" s="36"/>
      <c r="N22" s="36"/>
      <c r="O22" s="271">
        <f t="shared" si="1"/>
        <v>1042</v>
      </c>
      <c r="P22" s="290">
        <f t="shared" si="0"/>
        <v>2.3144240593487627E-2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>
        <f>D6+D7+D15+D18</f>
        <v>3020</v>
      </c>
      <c r="E23" s="42">
        <f>E20+E22</f>
        <v>642</v>
      </c>
      <c r="F23" s="42">
        <f>F5+F6+F15</f>
        <v>6740</v>
      </c>
      <c r="G23" s="42">
        <f>G19+G8+G7+G6</f>
        <v>4980</v>
      </c>
      <c r="H23" s="42">
        <f>H19+H8</f>
        <v>2910</v>
      </c>
      <c r="I23" s="42">
        <f>I15+I10+I5</f>
        <v>4890</v>
      </c>
      <c r="J23" s="361">
        <f>J19+J18+J9+J7</f>
        <v>4400</v>
      </c>
      <c r="K23" s="42">
        <f>K13+K8+K6+K5</f>
        <v>4870</v>
      </c>
      <c r="L23" s="42">
        <f>L17+L10</f>
        <v>2430</v>
      </c>
      <c r="M23" s="42"/>
      <c r="N23" s="42"/>
      <c r="O23" s="54">
        <f t="shared" si="1"/>
        <v>45022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>
        <v>0</v>
      </c>
      <c r="H24" s="36">
        <v>0</v>
      </c>
      <c r="I24" s="36">
        <v>560</v>
      </c>
      <c r="J24" s="36">
        <v>0</v>
      </c>
      <c r="K24" s="36">
        <v>0</v>
      </c>
      <c r="L24" s="36">
        <v>0</v>
      </c>
      <c r="M24" s="36"/>
      <c r="N24" s="36"/>
      <c r="O24" s="271">
        <f t="shared" si="1"/>
        <v>10560</v>
      </c>
      <c r="P24" s="290">
        <f t="shared" si="0"/>
        <v>0.23455199680156369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>
        <v>3020</v>
      </c>
      <c r="E27" s="282">
        <v>642</v>
      </c>
      <c r="F27" s="282">
        <f>F23+F24</f>
        <v>16740</v>
      </c>
      <c r="G27" s="282">
        <f>G23+G24</f>
        <v>4980</v>
      </c>
      <c r="H27" s="282">
        <f>H23</f>
        <v>2910</v>
      </c>
      <c r="I27" s="282">
        <f>I24+I23</f>
        <v>5450</v>
      </c>
      <c r="J27" s="282">
        <f>J23</f>
        <v>4400</v>
      </c>
      <c r="K27" s="282">
        <f>K23</f>
        <v>4870</v>
      </c>
      <c r="L27" s="282">
        <f>L23</f>
        <v>2430</v>
      </c>
      <c r="M27" s="282"/>
      <c r="N27" s="282"/>
      <c r="O27" s="283">
        <f t="shared" si="1"/>
        <v>55582</v>
      </c>
      <c r="P27" s="293">
        <f t="shared" si="0"/>
        <v>1.2345519968015637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6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2" zoomScaleNormal="100" workbookViewId="0">
      <selection activeCell="L24" sqref="L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27/6/62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>
        <f>432+440</f>
        <v>872</v>
      </c>
      <c r="H5" s="36">
        <v>0</v>
      </c>
      <c r="I5" s="36">
        <v>1100</v>
      </c>
      <c r="J5" s="36">
        <f>550+440+220</f>
        <v>1210</v>
      </c>
      <c r="K5" s="36">
        <v>0</v>
      </c>
      <c r="L5" s="36">
        <f>550+1650</f>
        <v>2200</v>
      </c>
      <c r="M5" s="36"/>
      <c r="N5" s="36"/>
      <c r="O5" s="271">
        <f>SUM(C5:N5)</f>
        <v>8662</v>
      </c>
      <c r="P5" s="290">
        <f t="shared" ref="P5:P27" si="0">O5/$O$23</f>
        <v>0.10827770694267357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>
        <v>0</v>
      </c>
      <c r="H6" s="36">
        <v>0</v>
      </c>
      <c r="I6" s="36">
        <v>550</v>
      </c>
      <c r="J6" s="36">
        <v>780</v>
      </c>
      <c r="K6" s="36">
        <f>550+1100</f>
        <v>1650</v>
      </c>
      <c r="L6" s="36">
        <f>550+550+550+700</f>
        <v>2350</v>
      </c>
      <c r="M6" s="36"/>
      <c r="N6" s="36"/>
      <c r="O6" s="271">
        <f t="shared" ref="O6:O27" si="1">SUM(C6:N6)</f>
        <v>8406</v>
      </c>
      <c r="P6" s="290">
        <f t="shared" si="0"/>
        <v>0.10507762694067352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>
        <v>0</v>
      </c>
      <c r="H7" s="36">
        <v>0</v>
      </c>
      <c r="I7" s="36">
        <v>0</v>
      </c>
      <c r="J7" s="36">
        <f>112+550+660+1400</f>
        <v>2722</v>
      </c>
      <c r="K7" s="36">
        <v>112</v>
      </c>
      <c r="L7" s="36">
        <v>0</v>
      </c>
      <c r="M7" s="36"/>
      <c r="N7" s="36"/>
      <c r="O7" s="271">
        <f t="shared" si="1"/>
        <v>3884</v>
      </c>
      <c r="P7" s="290">
        <f t="shared" si="0"/>
        <v>4.8551213780344507E-2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>
        <v>550</v>
      </c>
      <c r="H8" s="36">
        <v>550</v>
      </c>
      <c r="I8" s="36">
        <v>0</v>
      </c>
      <c r="J8" s="36">
        <v>0</v>
      </c>
      <c r="K8" s="36">
        <f>550+550+330+220+600</f>
        <v>2250</v>
      </c>
      <c r="L8" s="36">
        <v>0</v>
      </c>
      <c r="M8" s="36"/>
      <c r="N8" s="36"/>
      <c r="O8" s="271">
        <f t="shared" si="1"/>
        <v>7185</v>
      </c>
      <c r="P8" s="290">
        <f t="shared" si="0"/>
        <v>8.9814745368634222E-2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1750</v>
      </c>
      <c r="I9" s="36">
        <v>0</v>
      </c>
      <c r="J9" s="36">
        <v>0</v>
      </c>
      <c r="K9" s="36">
        <v>330</v>
      </c>
      <c r="L9" s="36">
        <v>0</v>
      </c>
      <c r="M9" s="36"/>
      <c r="N9" s="36"/>
      <c r="O9" s="271">
        <f t="shared" si="1"/>
        <v>2080</v>
      </c>
      <c r="P9" s="290">
        <f t="shared" si="0"/>
        <v>2.6000650016250407E-2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550</v>
      </c>
      <c r="K10" s="36">
        <v>550</v>
      </c>
      <c r="L10" s="36">
        <v>2300</v>
      </c>
      <c r="M10" s="36"/>
      <c r="N10" s="36"/>
      <c r="O10" s="271">
        <f t="shared" si="1"/>
        <v>3560</v>
      </c>
      <c r="P10" s="290">
        <f t="shared" si="0"/>
        <v>4.4501112527813198E-2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71">
        <f t="shared" si="1"/>
        <v>3515</v>
      </c>
      <c r="P11" s="290">
        <f t="shared" si="0"/>
        <v>4.3938598464961627E-2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>
        <v>0</v>
      </c>
      <c r="H12" s="36">
        <v>1400</v>
      </c>
      <c r="I12" s="36">
        <v>0</v>
      </c>
      <c r="J12" s="36">
        <f>336+1400</f>
        <v>1736</v>
      </c>
      <c r="K12" s="36">
        <v>1400</v>
      </c>
      <c r="L12" s="36">
        <f>700+1930</f>
        <v>2630</v>
      </c>
      <c r="M12" s="36"/>
      <c r="N12" s="36"/>
      <c r="O12" s="271">
        <f t="shared" si="1"/>
        <v>10197</v>
      </c>
      <c r="P12" s="290">
        <f t="shared" si="0"/>
        <v>0.12746568664216607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>
        <v>0</v>
      </c>
      <c r="H13" s="36">
        <f>224+1050</f>
        <v>1274</v>
      </c>
      <c r="I13" s="36">
        <v>0</v>
      </c>
      <c r="J13" s="36">
        <v>35</v>
      </c>
      <c r="K13" s="36">
        <f>224+220+700</f>
        <v>1144</v>
      </c>
      <c r="L13" s="36">
        <v>0</v>
      </c>
      <c r="M13" s="36"/>
      <c r="N13" s="36"/>
      <c r="O13" s="271">
        <f t="shared" si="1"/>
        <v>3897</v>
      </c>
      <c r="P13" s="290">
        <f t="shared" si="0"/>
        <v>4.8713717842946071E-2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>
        <v>0</v>
      </c>
      <c r="H14" s="36">
        <v>0</v>
      </c>
      <c r="I14" s="36">
        <v>350</v>
      </c>
      <c r="J14" s="36">
        <v>0</v>
      </c>
      <c r="K14" s="36">
        <v>0</v>
      </c>
      <c r="L14" s="36">
        <f>110+350</f>
        <v>460</v>
      </c>
      <c r="M14" s="36"/>
      <c r="N14" s="36"/>
      <c r="O14" s="271">
        <f t="shared" si="1"/>
        <v>1160</v>
      </c>
      <c r="P14" s="290">
        <f t="shared" si="0"/>
        <v>1.4500362509062727E-2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>
        <v>1750</v>
      </c>
      <c r="H15" s="36">
        <f>110+330</f>
        <v>440</v>
      </c>
      <c r="I15" s="36">
        <f>660</f>
        <v>660</v>
      </c>
      <c r="J15" s="36">
        <v>0</v>
      </c>
      <c r="K15" s="36">
        <v>220</v>
      </c>
      <c r="L15" s="36">
        <f>220+550</f>
        <v>770</v>
      </c>
      <c r="M15" s="36"/>
      <c r="N15" s="36"/>
      <c r="O15" s="271">
        <f t="shared" si="1"/>
        <v>5563</v>
      </c>
      <c r="P15" s="290">
        <f t="shared" si="0"/>
        <v>6.9539238480962023E-2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>
        <f>216+175</f>
        <v>391</v>
      </c>
      <c r="H16" s="36">
        <v>0</v>
      </c>
      <c r="I16" s="36">
        <v>350</v>
      </c>
      <c r="J16" s="36">
        <v>220</v>
      </c>
      <c r="K16" s="36">
        <v>220</v>
      </c>
      <c r="L16" s="36">
        <v>0</v>
      </c>
      <c r="M16" s="36"/>
      <c r="N16" s="36"/>
      <c r="O16" s="271">
        <f t="shared" si="1"/>
        <v>2370</v>
      </c>
      <c r="P16" s="290">
        <f t="shared" si="0"/>
        <v>2.9625740643516089E-2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>
        <v>0</v>
      </c>
      <c r="H17" s="36">
        <v>0</v>
      </c>
      <c r="I17" s="36">
        <v>1050</v>
      </c>
      <c r="J17" s="36">
        <v>0</v>
      </c>
      <c r="K17" s="36">
        <v>0</v>
      </c>
      <c r="L17" s="36">
        <f>875+1050</f>
        <v>1925</v>
      </c>
      <c r="M17" s="36"/>
      <c r="N17" s="36"/>
      <c r="O17" s="271">
        <f t="shared" si="1"/>
        <v>5945</v>
      </c>
      <c r="P17" s="290">
        <f t="shared" si="0"/>
        <v>7.4314357858946467E-2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>
        <f>350+55</f>
        <v>405</v>
      </c>
      <c r="H18" s="36">
        <v>0</v>
      </c>
      <c r="I18" s="36">
        <v>0</v>
      </c>
      <c r="J18" s="36">
        <v>0</v>
      </c>
      <c r="K18" s="36">
        <v>0</v>
      </c>
      <c r="L18" s="36">
        <f>330+700</f>
        <v>1030</v>
      </c>
      <c r="M18" s="36"/>
      <c r="N18" s="36"/>
      <c r="O18" s="271">
        <f t="shared" si="1"/>
        <v>2105</v>
      </c>
      <c r="P18" s="290">
        <f t="shared" si="0"/>
        <v>2.6313157828945725E-2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>
        <f>2200+700</f>
        <v>2900</v>
      </c>
      <c r="H19" s="36">
        <v>0</v>
      </c>
      <c r="I19" s="36">
        <v>0</v>
      </c>
      <c r="J19" s="36">
        <v>350</v>
      </c>
      <c r="K19" s="36">
        <v>0</v>
      </c>
      <c r="L19" s="36">
        <v>220</v>
      </c>
      <c r="M19" s="36"/>
      <c r="N19" s="36"/>
      <c r="O19" s="271">
        <f t="shared" si="1"/>
        <v>5650</v>
      </c>
      <c r="P19" s="290">
        <f t="shared" si="0"/>
        <v>7.0626765669141722E-2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>
        <f>1050+160+275</f>
        <v>1485</v>
      </c>
      <c r="H20" s="36">
        <v>0</v>
      </c>
      <c r="I20" s="36">
        <v>0</v>
      </c>
      <c r="J20" s="36">
        <v>0</v>
      </c>
      <c r="K20" s="36">
        <v>700</v>
      </c>
      <c r="L20" s="36">
        <v>1930</v>
      </c>
      <c r="M20" s="36"/>
      <c r="N20" s="36"/>
      <c r="O20" s="271">
        <f t="shared" si="1"/>
        <v>4665</v>
      </c>
      <c r="P20" s="290">
        <f t="shared" si="0"/>
        <v>5.8313957848946225E-2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>
        <v>0</v>
      </c>
      <c r="H21" s="36">
        <v>110</v>
      </c>
      <c r="I21" s="36">
        <v>330</v>
      </c>
      <c r="J21" s="36">
        <v>0</v>
      </c>
      <c r="K21" s="36">
        <v>0</v>
      </c>
      <c r="L21" s="36">
        <v>1930</v>
      </c>
      <c r="M21" s="36"/>
      <c r="N21" s="36"/>
      <c r="O21" s="271">
        <f t="shared" si="1"/>
        <v>4100</v>
      </c>
      <c r="P21" s="290">
        <f t="shared" si="0"/>
        <v>5.1251281282032053E-2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>
        <v>0</v>
      </c>
      <c r="H22" s="36">
        <f>220+420</f>
        <v>640</v>
      </c>
      <c r="I22" s="36">
        <f>420+128</f>
        <v>548</v>
      </c>
      <c r="J22" s="36">
        <f>110+210</f>
        <v>320</v>
      </c>
      <c r="K22" s="36">
        <v>0</v>
      </c>
      <c r="L22" s="36">
        <v>0</v>
      </c>
      <c r="M22" s="36"/>
      <c r="N22" s="36"/>
      <c r="O22" s="271">
        <f t="shared" si="1"/>
        <v>1616</v>
      </c>
      <c r="P22" s="290">
        <f t="shared" si="0"/>
        <v>2.0200505012625315E-2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>
        <f>D5+D6+D8+D11+D12+D13+D15+D19+D21</f>
        <v>13185</v>
      </c>
      <c r="E23" s="42">
        <f>E6+E14+E15+E19+E20</f>
        <v>2438</v>
      </c>
      <c r="F23" s="42">
        <f>F5+F6+F7+F11+F12+F13+F16+F18+F21+F22</f>
        <v>10029</v>
      </c>
      <c r="G23" s="42">
        <f>G20+G19+G18+G16+G15+G8+G5</f>
        <v>8353</v>
      </c>
      <c r="H23" s="42">
        <f>H8+H9+H12+H13+H15+H21+H22</f>
        <v>6164</v>
      </c>
      <c r="I23" s="42">
        <f>I21+I17+I16+I15+I14+I6+I5+I22</f>
        <v>4938</v>
      </c>
      <c r="J23" s="42">
        <f>J19+J16+J13+J12+J10+J7+J6+J5+J22</f>
        <v>7923</v>
      </c>
      <c r="K23" s="42">
        <f>K20+K16+K15+K13+K12+K10+K9+K8+K7+K6</f>
        <v>8576</v>
      </c>
      <c r="L23" s="42">
        <f>L21+L20+L18+L15+L14+L12+L10+L6+L5+L19</f>
        <v>15820</v>
      </c>
      <c r="M23" s="42"/>
      <c r="N23" s="42"/>
      <c r="O23" s="54">
        <f t="shared" si="1"/>
        <v>79998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>
        <v>550</v>
      </c>
      <c r="H24" s="36">
        <v>550</v>
      </c>
      <c r="I24" s="36">
        <v>0</v>
      </c>
      <c r="J24" s="36">
        <v>0</v>
      </c>
      <c r="K24" s="36">
        <f>345+880</f>
        <v>1225</v>
      </c>
      <c r="L24" s="36">
        <v>550</v>
      </c>
      <c r="M24" s="36"/>
      <c r="N24" s="36"/>
      <c r="O24" s="271">
        <f t="shared" si="1"/>
        <v>4645</v>
      </c>
      <c r="P24" s="290">
        <f t="shared" si="0"/>
        <v>5.8063951598789972E-2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13185</v>
      </c>
      <c r="E27" s="282">
        <f>E23+E24</f>
        <v>3548</v>
      </c>
      <c r="F27" s="282">
        <f>F23+F26</f>
        <v>10029</v>
      </c>
      <c r="G27" s="282">
        <f t="shared" si="2"/>
        <v>8353</v>
      </c>
      <c r="H27" s="282">
        <f>H23+H26</f>
        <v>6164</v>
      </c>
      <c r="I27" s="282">
        <f t="shared" si="2"/>
        <v>4938</v>
      </c>
      <c r="J27" s="282">
        <f t="shared" si="2"/>
        <v>7923</v>
      </c>
      <c r="K27" s="282">
        <f t="shared" si="2"/>
        <v>8576</v>
      </c>
      <c r="L27" s="282">
        <f t="shared" si="2"/>
        <v>15820</v>
      </c>
      <c r="M27" s="282">
        <f t="shared" si="2"/>
        <v>0</v>
      </c>
      <c r="N27" s="282">
        <f t="shared" si="2"/>
        <v>0</v>
      </c>
      <c r="O27" s="283">
        <f t="shared" si="1"/>
        <v>81108</v>
      </c>
      <c r="P27" s="293">
        <f t="shared" si="0"/>
        <v>1.0138753468836721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7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L24" sqref="L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>รายงานข้อมูลณ วันที่ 27/6/62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>
        <v>0</v>
      </c>
      <c r="H5" s="36">
        <v>0</v>
      </c>
      <c r="I5" s="36">
        <v>0</v>
      </c>
      <c r="J5" s="36">
        <v>2520</v>
      </c>
      <c r="K5" s="36">
        <v>0</v>
      </c>
      <c r="L5" s="36">
        <v>5040</v>
      </c>
      <c r="M5" s="36"/>
      <c r="N5" s="36"/>
      <c r="O5" s="271">
        <f>SUM(C5:N5)</f>
        <v>27878.36</v>
      </c>
      <c r="P5" s="290">
        <f t="shared" ref="P5:P27" si="0">O5/$O$23</f>
        <v>0.1344547947287919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>
        <v>2520</v>
      </c>
      <c r="H6" s="36">
        <v>79.180000000000007</v>
      </c>
      <c r="I6" s="36">
        <v>2520</v>
      </c>
      <c r="J6" s="36">
        <v>0</v>
      </c>
      <c r="K6" s="36">
        <v>197.5</v>
      </c>
      <c r="L6" s="36">
        <v>2520</v>
      </c>
      <c r="M6" s="36"/>
      <c r="N6" s="36"/>
      <c r="O6" s="271">
        <f t="shared" ref="O6:O27" si="1">SUM(C6:N6)</f>
        <v>13667.58</v>
      </c>
      <c r="P6" s="290">
        <f t="shared" si="0"/>
        <v>6.5917495266555923E-2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>
        <f>395+79.18</f>
        <v>474.18</v>
      </c>
      <c r="H7" s="36">
        <v>0</v>
      </c>
      <c r="I7" s="36">
        <v>0</v>
      </c>
      <c r="J7" s="36">
        <v>2520</v>
      </c>
      <c r="K7" s="36">
        <v>2520</v>
      </c>
      <c r="L7" s="36">
        <v>0</v>
      </c>
      <c r="M7" s="36"/>
      <c r="N7" s="36"/>
      <c r="O7" s="271">
        <f t="shared" si="1"/>
        <v>11862.54</v>
      </c>
      <c r="P7" s="290">
        <f t="shared" si="0"/>
        <v>5.7211951515874084E-2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>
        <v>395</v>
      </c>
      <c r="H8" s="36">
        <v>0</v>
      </c>
      <c r="I8" s="36">
        <v>0</v>
      </c>
      <c r="J8" s="36">
        <v>795</v>
      </c>
      <c r="K8" s="36">
        <v>0</v>
      </c>
      <c r="L8" s="36">
        <v>0</v>
      </c>
      <c r="M8" s="36"/>
      <c r="N8" s="36"/>
      <c r="O8" s="271">
        <f t="shared" si="1"/>
        <v>21350</v>
      </c>
      <c r="P8" s="290">
        <f t="shared" si="0"/>
        <v>0.10296910820649806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>
        <v>0</v>
      </c>
      <c r="H9" s="36">
        <v>0</v>
      </c>
      <c r="I9" s="36">
        <v>0</v>
      </c>
      <c r="J9" s="36">
        <v>0</v>
      </c>
      <c r="K9" s="36">
        <v>3715</v>
      </c>
      <c r="L9" s="36">
        <v>0</v>
      </c>
      <c r="M9" s="36"/>
      <c r="N9" s="36"/>
      <c r="O9" s="271">
        <f t="shared" si="1"/>
        <v>15608.36</v>
      </c>
      <c r="P9" s="290">
        <f t="shared" si="0"/>
        <v>7.527770069161481E-2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>
        <v>0</v>
      </c>
      <c r="H10" s="36">
        <v>0</v>
      </c>
      <c r="I10" s="36">
        <v>0</v>
      </c>
      <c r="J10" s="36">
        <v>0</v>
      </c>
      <c r="K10" s="36">
        <v>395</v>
      </c>
      <c r="L10" s="36">
        <v>454.18</v>
      </c>
      <c r="M10" s="36"/>
      <c r="N10" s="36"/>
      <c r="O10" s="271">
        <f t="shared" si="1"/>
        <v>12722.54</v>
      </c>
      <c r="P10" s="290">
        <f t="shared" si="0"/>
        <v>6.1359653298430912E-2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>
        <v>2520</v>
      </c>
      <c r="H11" s="36">
        <v>118.5</v>
      </c>
      <c r="I11" s="36">
        <v>0</v>
      </c>
      <c r="J11" s="36">
        <v>2520</v>
      </c>
      <c r="K11" s="36">
        <v>0</v>
      </c>
      <c r="L11" s="36">
        <v>0</v>
      </c>
      <c r="M11" s="36"/>
      <c r="N11" s="36"/>
      <c r="O11" s="271">
        <f t="shared" si="1"/>
        <v>12718.5</v>
      </c>
      <c r="P11" s="290">
        <f t="shared" si="0"/>
        <v>6.134016874587099E-2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158.36000000000001</v>
      </c>
      <c r="I12" s="36">
        <v>0</v>
      </c>
      <c r="J12" s="36">
        <v>0</v>
      </c>
      <c r="K12" s="36">
        <v>0</v>
      </c>
      <c r="L12" s="36">
        <v>190</v>
      </c>
      <c r="M12" s="36"/>
      <c r="N12" s="36"/>
      <c r="O12" s="271">
        <f t="shared" si="1"/>
        <v>348.36</v>
      </c>
      <c r="P12" s="290">
        <f t="shared" si="0"/>
        <v>1.6801085964784856E-3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>
        <v>1008</v>
      </c>
      <c r="H13" s="36">
        <v>79.8</v>
      </c>
      <c r="I13" s="36">
        <v>1008</v>
      </c>
      <c r="J13" s="36">
        <v>1764</v>
      </c>
      <c r="K13" s="36">
        <v>0</v>
      </c>
      <c r="L13" s="36">
        <f>7560+190</f>
        <v>7750</v>
      </c>
      <c r="M13" s="36"/>
      <c r="N13" s="36"/>
      <c r="O13" s="271">
        <f t="shared" si="1"/>
        <v>17876.16</v>
      </c>
      <c r="P13" s="290">
        <f t="shared" si="0"/>
        <v>8.621509383403618E-2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118.5</v>
      </c>
      <c r="L14" s="36">
        <v>1260</v>
      </c>
      <c r="M14" s="36"/>
      <c r="N14" s="36"/>
      <c r="O14" s="271">
        <f t="shared" si="1"/>
        <v>6576.86</v>
      </c>
      <c r="P14" s="290">
        <f t="shared" si="0"/>
        <v>3.1719597611193855E-2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190</v>
      </c>
      <c r="M15" s="36"/>
      <c r="N15" s="36"/>
      <c r="O15" s="271">
        <f t="shared" si="1"/>
        <v>7750</v>
      </c>
      <c r="P15" s="290">
        <f t="shared" si="0"/>
        <v>3.7377545133506322E-2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>
        <v>0</v>
      </c>
      <c r="H16" s="36">
        <v>0</v>
      </c>
      <c r="I16" s="36">
        <v>0</v>
      </c>
      <c r="J16" s="36">
        <v>395</v>
      </c>
      <c r="K16" s="36">
        <v>79.8</v>
      </c>
      <c r="L16" s="36">
        <v>0</v>
      </c>
      <c r="M16" s="36"/>
      <c r="N16" s="36"/>
      <c r="O16" s="271">
        <f t="shared" si="1"/>
        <v>13903.98</v>
      </c>
      <c r="P16" s="290">
        <f t="shared" si="0"/>
        <v>6.7057630965854098E-2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>
        <v>0</v>
      </c>
      <c r="H17" s="36">
        <v>0</v>
      </c>
      <c r="I17" s="36">
        <v>79.180000000000007</v>
      </c>
      <c r="J17" s="36">
        <v>0</v>
      </c>
      <c r="K17" s="36">
        <v>0</v>
      </c>
      <c r="L17" s="36">
        <v>5040</v>
      </c>
      <c r="M17" s="36"/>
      <c r="N17" s="36"/>
      <c r="O17" s="271">
        <f t="shared" si="1"/>
        <v>5198.3599999999997</v>
      </c>
      <c r="P17" s="290">
        <f t="shared" si="0"/>
        <v>2.5071217486479214E-2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>
        <v>0</v>
      </c>
      <c r="H18" s="36">
        <v>0</v>
      </c>
      <c r="I18" s="36">
        <v>1260</v>
      </c>
      <c r="J18" s="36">
        <v>0</v>
      </c>
      <c r="K18" s="36">
        <v>0</v>
      </c>
      <c r="L18" s="36">
        <v>79.180000000000007</v>
      </c>
      <c r="M18" s="36"/>
      <c r="N18" s="36"/>
      <c r="O18" s="271">
        <f t="shared" si="1"/>
        <v>6285.54</v>
      </c>
      <c r="P18" s="290">
        <f t="shared" si="0"/>
        <v>3.0314587746897978E-2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>
        <v>181.7</v>
      </c>
      <c r="H19" s="36">
        <v>0</v>
      </c>
      <c r="I19" s="36">
        <v>0</v>
      </c>
      <c r="J19" s="36">
        <v>0</v>
      </c>
      <c r="K19" s="36">
        <v>0</v>
      </c>
      <c r="L19" s="36">
        <v>2520</v>
      </c>
      <c r="M19" s="36"/>
      <c r="N19" s="36"/>
      <c r="O19" s="271">
        <f t="shared" si="1"/>
        <v>10261.700000000001</v>
      </c>
      <c r="P19" s="290">
        <f t="shared" si="0"/>
        <v>4.9491245793097015E-2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5040</v>
      </c>
      <c r="L20" s="36">
        <v>229.18</v>
      </c>
      <c r="M20" s="36"/>
      <c r="N20" s="36"/>
      <c r="O20" s="271">
        <f t="shared" si="1"/>
        <v>11964.18</v>
      </c>
      <c r="P20" s="290">
        <f t="shared" si="0"/>
        <v>5.7702151991663703E-2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>
        <v>395</v>
      </c>
      <c r="H21" s="36">
        <v>0</v>
      </c>
      <c r="I21" s="36">
        <v>375</v>
      </c>
      <c r="J21" s="36">
        <v>750</v>
      </c>
      <c r="K21" s="36">
        <v>0</v>
      </c>
      <c r="L21" s="36">
        <v>2895</v>
      </c>
      <c r="M21" s="36"/>
      <c r="N21" s="36"/>
      <c r="O21" s="271">
        <f t="shared" si="1"/>
        <v>6251.72</v>
      </c>
      <c r="P21" s="290">
        <f t="shared" si="0"/>
        <v>3.0151476962844408E-2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>
        <v>0</v>
      </c>
      <c r="H22" s="36">
        <v>79.8</v>
      </c>
      <c r="I22" s="36">
        <v>0</v>
      </c>
      <c r="J22" s="36">
        <v>0</v>
      </c>
      <c r="K22" s="36">
        <v>79</v>
      </c>
      <c r="L22" s="36">
        <v>0</v>
      </c>
      <c r="M22" s="36"/>
      <c r="N22" s="36"/>
      <c r="O22" s="271">
        <f t="shared" si="1"/>
        <v>5198.8</v>
      </c>
      <c r="P22" s="290">
        <f t="shared" si="0"/>
        <v>2.5073339566460989E-2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361">
        <f>D5+D6+D7+D8+D9+D10+D11+D13+D14+D18</f>
        <v>31214.800000000003</v>
      </c>
      <c r="E23" s="361">
        <f>E5+E6+E9+E10+E18+E19+E20+E21</f>
        <v>13786.800000000001</v>
      </c>
      <c r="F23" s="42">
        <f>F5+F6+F7+F8+F9+F10+F11+F12+F13+F14+F15+F16+F17+F18+F19+F20+F21+F22</f>
        <v>18968.900000000001</v>
      </c>
      <c r="G23" s="42">
        <f>G21+G19+G13+G11+G8+G7+G6</f>
        <v>7493.88</v>
      </c>
      <c r="H23" s="42">
        <f>H6+H11+H12+H22</f>
        <v>435.84000000000003</v>
      </c>
      <c r="I23" s="42">
        <f>I21+I18+I17+I13+I6</f>
        <v>5242.18</v>
      </c>
      <c r="J23" s="42">
        <f>J21+J16+J13+J11+J8+J7+J5</f>
        <v>11264</v>
      </c>
      <c r="K23" s="42">
        <f>K6+K7+K8+K9+K10+K14+K16+K20+K22</f>
        <v>12144.8</v>
      </c>
      <c r="L23" s="42">
        <f>L21+L20+L18+L17+L15+L14+L13+L12+L10+L6+L5+L19</f>
        <v>28167.54</v>
      </c>
      <c r="M23" s="42"/>
      <c r="N23" s="42"/>
      <c r="O23" s="54">
        <f t="shared" si="1"/>
        <v>207343.74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f>5040+600</f>
        <v>5640</v>
      </c>
      <c r="J24" s="36">
        <v>0</v>
      </c>
      <c r="K24" s="36">
        <v>0</v>
      </c>
      <c r="L24" s="36">
        <v>5040</v>
      </c>
      <c r="M24" s="36"/>
      <c r="N24" s="36"/>
      <c r="O24" s="271">
        <f t="shared" si="1"/>
        <v>10996.720000000001</v>
      </c>
      <c r="P24" s="290">
        <f t="shared" si="0"/>
        <v>5.3036180402649249E-2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>
        <v>31214.799999999999</v>
      </c>
      <c r="E27" s="282">
        <v>13786.8</v>
      </c>
      <c r="F27" s="282">
        <v>18889.72</v>
      </c>
      <c r="G27" s="282">
        <f>G24+G23</f>
        <v>7493.88</v>
      </c>
      <c r="H27" s="282">
        <f>H23</f>
        <v>435.84000000000003</v>
      </c>
      <c r="I27" s="282">
        <f>I24+I23</f>
        <v>10882.18</v>
      </c>
      <c r="J27" s="282">
        <f>J23</f>
        <v>11264</v>
      </c>
      <c r="K27" s="282">
        <f>K23</f>
        <v>12144.8</v>
      </c>
      <c r="L27" s="282">
        <f>L23+L24</f>
        <v>33207.54</v>
      </c>
      <c r="M27" s="282"/>
      <c r="N27" s="282"/>
      <c r="O27" s="283">
        <f t="shared" si="1"/>
        <v>218261.28</v>
      </c>
      <c r="P27" s="293">
        <f t="shared" si="0"/>
        <v>1.0526543024641111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6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Normal="100" workbookViewId="0">
      <selection activeCell="L28" sqref="L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27/6/62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11492.75</v>
      </c>
      <c r="I5" s="36">
        <v>0</v>
      </c>
      <c r="J5" s="36">
        <v>0</v>
      </c>
      <c r="K5" s="36">
        <v>1605</v>
      </c>
      <c r="L5" s="36">
        <v>0</v>
      </c>
      <c r="M5" s="36"/>
      <c r="N5" s="36"/>
      <c r="O5" s="270">
        <f>K5+H5</f>
        <v>13097.75</v>
      </c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120</v>
      </c>
      <c r="I6" s="36">
        <v>0</v>
      </c>
      <c r="J6" s="36">
        <v>0</v>
      </c>
      <c r="K6" s="36">
        <f>642+642</f>
        <v>1284</v>
      </c>
      <c r="L6" s="36">
        <v>0</v>
      </c>
      <c r="M6" s="36"/>
      <c r="N6" s="36"/>
      <c r="O6" s="270">
        <f>K6+H6</f>
        <v>1404</v>
      </c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/>
      <c r="N7" s="36"/>
      <c r="O7" s="271">
        <f>D7</f>
        <v>1284</v>
      </c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36"/>
      <c r="O8" s="271">
        <v>0</v>
      </c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>
        <v>0</v>
      </c>
      <c r="H9" s="36">
        <v>4570.1499999999996</v>
      </c>
      <c r="I9" s="36">
        <v>0</v>
      </c>
      <c r="J9" s="36">
        <v>0</v>
      </c>
      <c r="K9" s="36">
        <v>321</v>
      </c>
      <c r="L9" s="36">
        <v>0</v>
      </c>
      <c r="M9" s="36"/>
      <c r="N9" s="36"/>
      <c r="O9" s="270">
        <f>K9+H9+F9</f>
        <v>5533.15</v>
      </c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6542.15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  <c r="O10" s="270">
        <f>H10</f>
        <v>6542.15</v>
      </c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71">
        <v>0</v>
      </c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71">
        <v>0</v>
      </c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71">
        <v>0</v>
      </c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71">
        <v>0</v>
      </c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/>
      <c r="O15" s="271">
        <v>0</v>
      </c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71">
        <v>0</v>
      </c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/>
      <c r="O17" s="271">
        <v>0</v>
      </c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/>
      <c r="O18" s="271">
        <v>0</v>
      </c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/>
      <c r="N19" s="36"/>
      <c r="O19" s="271">
        <v>0</v>
      </c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71">
        <v>0</v>
      </c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11142.45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70">
        <f>H21</f>
        <v>11142.45</v>
      </c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/>
      <c r="O22" s="271">
        <v>0</v>
      </c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v>1284</v>
      </c>
      <c r="E23" s="42">
        <v>0</v>
      </c>
      <c r="F23" s="42">
        <v>0</v>
      </c>
      <c r="G23" s="42">
        <v>0</v>
      </c>
      <c r="H23" s="361">
        <f>H21+H10+H9+H6+H5</f>
        <v>33867.5</v>
      </c>
      <c r="I23" s="42">
        <v>0</v>
      </c>
      <c r="J23" s="42">
        <v>0</v>
      </c>
      <c r="K23" s="42">
        <f>K9+K6+K5</f>
        <v>3210</v>
      </c>
      <c r="L23" s="42">
        <v>0</v>
      </c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>
        <v>0</v>
      </c>
      <c r="H24" s="36">
        <v>290</v>
      </c>
      <c r="I24" s="36">
        <v>0</v>
      </c>
      <c r="J24" s="36">
        <v>0</v>
      </c>
      <c r="K24" s="36">
        <v>0</v>
      </c>
      <c r="L24" s="36">
        <v>0</v>
      </c>
      <c r="M24" s="36"/>
      <c r="N24" s="36"/>
      <c r="O24" s="270">
        <f>E24+H24</f>
        <v>3500</v>
      </c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>
        <v>1284</v>
      </c>
      <c r="E27" s="282">
        <v>3210</v>
      </c>
      <c r="F27" s="282">
        <v>642</v>
      </c>
      <c r="G27" s="282">
        <v>0</v>
      </c>
      <c r="H27" s="363">
        <f>H24+H23</f>
        <v>34157.5</v>
      </c>
      <c r="I27" s="282">
        <v>0</v>
      </c>
      <c r="J27" s="282">
        <v>0</v>
      </c>
      <c r="K27" s="282">
        <f>K23</f>
        <v>3210</v>
      </c>
      <c r="L27" s="282">
        <v>0</v>
      </c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6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topLeftCell="A13" workbookViewId="0">
      <selection activeCell="L24" sqref="L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27/6/62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>
        <v>0</v>
      </c>
      <c r="H5" s="36">
        <v>63</v>
      </c>
      <c r="I5" s="36">
        <v>0</v>
      </c>
      <c r="J5" s="36">
        <v>0</v>
      </c>
      <c r="K5" s="36">
        <v>63</v>
      </c>
      <c r="L5" s="36">
        <v>0</v>
      </c>
      <c r="M5" s="36"/>
      <c r="N5" s="36"/>
      <c r="O5" s="270">
        <f>126+K5+H5</f>
        <v>252</v>
      </c>
      <c r="P5" s="290">
        <f t="shared" ref="P5:P27" si="0">O5/$O$23</f>
        <v>1.6688741721854305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63</v>
      </c>
      <c r="L6" s="36">
        <v>0</v>
      </c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f>D5+D7+D17</f>
        <v>243.21999999999997</v>
      </c>
      <c r="E23" s="42">
        <v>0</v>
      </c>
      <c r="F23" s="42">
        <v>0</v>
      </c>
      <c r="G23" s="42">
        <v>0</v>
      </c>
      <c r="H23" s="42">
        <v>63</v>
      </c>
      <c r="I23" s="42">
        <v>0</v>
      </c>
      <c r="J23" s="42">
        <v>0</v>
      </c>
      <c r="K23" s="42">
        <f>K6+K5</f>
        <v>126</v>
      </c>
      <c r="L23" s="42">
        <v>0</v>
      </c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>
        <v>0</v>
      </c>
      <c r="I25" s="36">
        <v>0</v>
      </c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243.21999999999997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63</v>
      </c>
      <c r="I27" s="282">
        <f t="shared" si="1"/>
        <v>0</v>
      </c>
      <c r="J27" s="282">
        <f t="shared" si="1"/>
        <v>0</v>
      </c>
      <c r="K27" s="282">
        <f t="shared" si="1"/>
        <v>126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9" t="s">
        <v>49</v>
      </c>
      <c r="M29" s="369"/>
      <c r="N29" s="369"/>
      <c r="O29" s="167"/>
      <c r="P29" s="300"/>
    </row>
    <row r="30" spans="1:16" s="114" customFormat="1" ht="18" customHeight="1" x14ac:dyDescent="0.45">
      <c r="A30" s="62"/>
      <c r="B30" s="194"/>
      <c r="G30" s="369" t="s">
        <v>80</v>
      </c>
      <c r="H30" s="369"/>
      <c r="I30" s="369"/>
      <c r="J30" s="15"/>
      <c r="K30" s="15"/>
      <c r="L30" s="369"/>
      <c r="M30" s="369"/>
      <c r="N30" s="369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L21" sqref="L21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27/6/62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>
        <f>20690.83+1320+7432.5</f>
        <v>29443.33</v>
      </c>
      <c r="H5" s="36">
        <f>11045.43+2200+402+1840</f>
        <v>15487.43</v>
      </c>
      <c r="I5" s="36">
        <f>23339.35+1020</f>
        <v>24359.35</v>
      </c>
      <c r="J5" s="36">
        <f>20133.86+250</f>
        <v>20383.86</v>
      </c>
      <c r="K5" s="36">
        <f>27835.64+135+320+327+380+87</f>
        <v>29084.639999999999</v>
      </c>
      <c r="L5" s="36">
        <f>22605.12</f>
        <v>22605.119999999999</v>
      </c>
      <c r="M5" s="36"/>
      <c r="N5" s="36"/>
      <c r="O5" s="270">
        <f>SUM(C5:N5)</f>
        <v>220053.29000000004</v>
      </c>
      <c r="P5" s="290">
        <f t="shared" ref="P5:P27" si="0">O5/$O$23</f>
        <v>0.13418547321438706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>
        <f>11228.34+150+500+399.11+170+64+72+200+160+93</f>
        <v>13036.45</v>
      </c>
      <c r="H6" s="36">
        <f>13833.17+1320+486+250+1000+250</f>
        <v>17139.169999999998</v>
      </c>
      <c r="I6" s="36">
        <f>12050.15+1320+695+410.88</f>
        <v>14476.029999999999</v>
      </c>
      <c r="J6" s="36">
        <f>11673.55+53.5+185</f>
        <v>11912.05</v>
      </c>
      <c r="K6" s="36">
        <f>8724.4+308.16+1200+31.66295</f>
        <v>10264.222949999999</v>
      </c>
      <c r="L6" s="36">
        <f>13381.23+64+50</f>
        <v>13495.23</v>
      </c>
      <c r="M6" s="36"/>
      <c r="N6" s="36"/>
      <c r="O6" s="270">
        <f t="shared" ref="O6:O27" si="1">SUM(C6:N6)</f>
        <v>143408.38295</v>
      </c>
      <c r="P6" s="290">
        <f t="shared" si="0"/>
        <v>8.7448461820569839E-2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>
        <f>533.7+138+725+33.11+84+84+10637.58+300+1160</f>
        <v>13695.39</v>
      </c>
      <c r="H7" s="36">
        <f>2050+550+695+94.98+150+1995.55</f>
        <v>5535.53</v>
      </c>
      <c r="I7" s="36">
        <v>0</v>
      </c>
      <c r="J7" s="36">
        <f>5082.28+3107.22+1240</f>
        <v>9429.5</v>
      </c>
      <c r="K7" s="36">
        <f>9850.72+900+400+67+798.22+258.27+1797.6+240+2045</f>
        <v>16356.81</v>
      </c>
      <c r="L7" s="36">
        <f>100+3398.65+700+250+445.12</f>
        <v>4893.7699999999995</v>
      </c>
      <c r="M7" s="36"/>
      <c r="N7" s="36"/>
      <c r="O7" s="270">
        <f t="shared" si="1"/>
        <v>65152.979999999996</v>
      </c>
      <c r="P7" s="290">
        <f t="shared" si="0"/>
        <v>3.9729392151453373E-2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>
        <f>12534.24+2683.56+7988.28+1320</f>
        <v>24526.079999999998</v>
      </c>
      <c r="H8" s="36">
        <v>11881.91</v>
      </c>
      <c r="I8" s="36">
        <f>11029.63+590</f>
        <v>11619.63</v>
      </c>
      <c r="J8" s="36">
        <f>3914.56+4200+8891.83+168+6791.37+750</f>
        <v>24715.759999999998</v>
      </c>
      <c r="K8" s="36">
        <v>7110.72</v>
      </c>
      <c r="L8" s="36">
        <f>22274.1</f>
        <v>22274.1</v>
      </c>
      <c r="M8" s="36"/>
      <c r="N8" s="36"/>
      <c r="O8" s="270">
        <f t="shared" si="1"/>
        <v>139986.35999999999</v>
      </c>
      <c r="P8" s="290">
        <f t="shared" si="0"/>
        <v>8.5361759236408319E-2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>
        <f>9298.2+41</f>
        <v>9339.2000000000007</v>
      </c>
      <c r="H9" s="36">
        <f>2125.92+138+321.6+500+2840</f>
        <v>5925.52</v>
      </c>
      <c r="I9" s="36">
        <v>2877.68</v>
      </c>
      <c r="J9" s="36">
        <f>3369.86+500</f>
        <v>3869.86</v>
      </c>
      <c r="K9" s="36">
        <f>10094.24+3876.8+80</f>
        <v>14051.04</v>
      </c>
      <c r="L9" s="36">
        <f>2423+390</f>
        <v>2813</v>
      </c>
      <c r="M9" s="36"/>
      <c r="N9" s="36"/>
      <c r="O9" s="270">
        <f t="shared" si="1"/>
        <v>75672.72</v>
      </c>
      <c r="P9" s="290">
        <f t="shared" si="0"/>
        <v>4.6144185086347995E-2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>
        <v>3519.61</v>
      </c>
      <c r="H10" s="36">
        <f>4740</f>
        <v>4740</v>
      </c>
      <c r="I10" s="36">
        <f>2884+155.52</f>
        <v>3039.52</v>
      </c>
      <c r="J10" s="36">
        <f>5061.99+102.5+45+100</f>
        <v>5309.49</v>
      </c>
      <c r="K10" s="36">
        <v>1832.24</v>
      </c>
      <c r="L10" s="36">
        <f>12851.23+4383.04</f>
        <v>17234.27</v>
      </c>
      <c r="M10" s="36"/>
      <c r="N10" s="36"/>
      <c r="O10" s="270">
        <f t="shared" si="1"/>
        <v>64773.069999999992</v>
      </c>
      <c r="P10" s="290">
        <f t="shared" si="0"/>
        <v>3.9497728252545626E-2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>
        <f>5041.07+420</f>
        <v>5461.07</v>
      </c>
      <c r="H11" s="36">
        <v>800</v>
      </c>
      <c r="I11" s="36">
        <f>2637.75+1510+270</f>
        <v>4417.75</v>
      </c>
      <c r="J11" s="36">
        <f>10261.24</f>
        <v>10261.24</v>
      </c>
      <c r="K11" s="36">
        <f>12796.23+650</f>
        <v>13446.23</v>
      </c>
      <c r="L11" s="36">
        <f>8188.74+100+794.6</f>
        <v>9083.34</v>
      </c>
      <c r="M11" s="36"/>
      <c r="N11" s="36"/>
      <c r="O11" s="270">
        <f t="shared" si="1"/>
        <v>74731.099999999991</v>
      </c>
      <c r="P11" s="290">
        <f t="shared" si="0"/>
        <v>4.5569998146047612E-2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>
        <f>1460+543.3</f>
        <v>2003.3</v>
      </c>
      <c r="H12" s="36">
        <f>15519.76+1875+2150+250+497.55+422.65+1415</f>
        <v>22129.960000000003</v>
      </c>
      <c r="I12" s="36">
        <v>2000</v>
      </c>
      <c r="J12" s="36">
        <f>10176.78+1500+250</f>
        <v>11926.78</v>
      </c>
      <c r="K12" s="36">
        <f>21555.05</f>
        <v>21555.05</v>
      </c>
      <c r="L12" s="36">
        <f>9445.87+20268.06</f>
        <v>29713.93</v>
      </c>
      <c r="M12" s="36"/>
      <c r="N12" s="36"/>
      <c r="O12" s="270">
        <f t="shared" si="1"/>
        <v>161021.18</v>
      </c>
      <c r="P12" s="290">
        <f t="shared" si="0"/>
        <v>9.8188503502215266E-2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>
        <f>2287.68+26.75+29.5+50+5541.25</f>
        <v>7935.18</v>
      </c>
      <c r="H13" s="36">
        <v>10095.18</v>
      </c>
      <c r="I13" s="36">
        <v>12324.42</v>
      </c>
      <c r="J13" s="36">
        <f>535.33</f>
        <v>535.33000000000004</v>
      </c>
      <c r="K13" s="36">
        <v>3149.99</v>
      </c>
      <c r="L13" s="36">
        <f>10844.98+194.74+375+900</f>
        <v>12314.72</v>
      </c>
      <c r="M13" s="36"/>
      <c r="N13" s="36"/>
      <c r="O13" s="270">
        <f t="shared" si="1"/>
        <v>87243.24</v>
      </c>
      <c r="P13" s="290">
        <f t="shared" si="0"/>
        <v>5.3199729229934899E-2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>
        <v>780</v>
      </c>
      <c r="H14" s="36">
        <f>9436.62+50+3437.95+63.32+50</f>
        <v>13037.89</v>
      </c>
      <c r="I14" s="36">
        <v>3310</v>
      </c>
      <c r="J14" s="36">
        <v>4685.67</v>
      </c>
      <c r="K14" s="36">
        <v>6474.6</v>
      </c>
      <c r="L14" s="36">
        <f>11139.52</f>
        <v>11139.52</v>
      </c>
      <c r="M14" s="36"/>
      <c r="N14" s="36"/>
      <c r="O14" s="270">
        <f t="shared" si="1"/>
        <v>62899.409999999989</v>
      </c>
      <c r="P14" s="290">
        <f t="shared" si="0"/>
        <v>3.8355196124337639E-2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>
        <f>1943.32+1671</f>
        <v>3614.3199999999997</v>
      </c>
      <c r="H15" s="36">
        <f>2936.65+240.75+670+1000+150+3969</f>
        <v>8966.4</v>
      </c>
      <c r="I15" s="36">
        <f>8081.1+400+690</f>
        <v>9171.1</v>
      </c>
      <c r="J15" s="36">
        <v>7225.16</v>
      </c>
      <c r="K15" s="36">
        <v>4510</v>
      </c>
      <c r="L15" s="36">
        <f>3220.48+265+340+780+9242.05</f>
        <v>13847.529999999999</v>
      </c>
      <c r="M15" s="36"/>
      <c r="N15" s="36"/>
      <c r="O15" s="270">
        <f t="shared" si="1"/>
        <v>80502.92</v>
      </c>
      <c r="P15" s="290">
        <f t="shared" si="0"/>
        <v>4.9089574690475847E-2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>
        <f>4644.1+24.1+26.75+16.05+32.1</f>
        <v>4743.1000000000013</v>
      </c>
      <c r="H16" s="36">
        <f>4494.64+430+398.04+400</f>
        <v>5722.68</v>
      </c>
      <c r="I16" s="36">
        <v>8348.08</v>
      </c>
      <c r="J16" s="36">
        <f>7977.87+250+350+84</f>
        <v>8661.869999999999</v>
      </c>
      <c r="K16" s="36">
        <f>5716.48+375</f>
        <v>6091.48</v>
      </c>
      <c r="L16" s="36">
        <f>6218.06+108.66+1000+304+540+78.45</f>
        <v>8249.17</v>
      </c>
      <c r="M16" s="36"/>
      <c r="N16" s="36"/>
      <c r="O16" s="270">
        <f t="shared" si="1"/>
        <v>65435.7</v>
      </c>
      <c r="P16" s="290">
        <f t="shared" si="0"/>
        <v>3.9901790923528864E-2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>
        <v>0</v>
      </c>
      <c r="H17" s="36">
        <f>4549.76+1000</f>
        <v>5549.76</v>
      </c>
      <c r="I17" s="36">
        <f>10675.2</f>
        <v>10675.2</v>
      </c>
      <c r="J17" s="36">
        <v>0</v>
      </c>
      <c r="K17" s="36">
        <v>6290.16</v>
      </c>
      <c r="L17" s="36">
        <f>19400.12+50</f>
        <v>19450.12</v>
      </c>
      <c r="M17" s="36"/>
      <c r="N17" s="36"/>
      <c r="O17" s="270">
        <f t="shared" si="1"/>
        <v>86695.88</v>
      </c>
      <c r="P17" s="290">
        <f t="shared" si="0"/>
        <v>5.2865956621406175E-2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>
        <f>3613.43</f>
        <v>3613.43</v>
      </c>
      <c r="H18" s="36">
        <f>2098+138</f>
        <v>2236</v>
      </c>
      <c r="I18" s="36">
        <v>3201.84</v>
      </c>
      <c r="J18" s="36">
        <f>2165+270+240.12</f>
        <v>2675.12</v>
      </c>
      <c r="K18" s="36">
        <v>0</v>
      </c>
      <c r="L18" s="36">
        <f>4719.53+162.99+335+1450</f>
        <v>6667.5199999999995</v>
      </c>
      <c r="M18" s="36"/>
      <c r="N18" s="36"/>
      <c r="O18" s="270">
        <f t="shared" si="1"/>
        <v>38151.25</v>
      </c>
      <c r="P18" s="290">
        <f t="shared" si="0"/>
        <v>2.3264108139307453E-2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>
        <v>7326.1</v>
      </c>
      <c r="H19" s="36">
        <f>10187.36+78.45</f>
        <v>10265.810000000001</v>
      </c>
      <c r="I19" s="36">
        <f>1000+108.66</f>
        <v>1108.6600000000001</v>
      </c>
      <c r="J19" s="36">
        <f>12945.38</f>
        <v>12945.38</v>
      </c>
      <c r="K19" s="36">
        <v>8132.32</v>
      </c>
      <c r="L19" s="36">
        <v>10233.799999999999</v>
      </c>
      <c r="M19" s="36"/>
      <c r="N19" s="36"/>
      <c r="O19" s="270">
        <f t="shared" si="1"/>
        <v>100927.89</v>
      </c>
      <c r="P19" s="290">
        <f t="shared" si="0"/>
        <v>6.1544440804223381E-2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>
        <f>5723.53+928+3463.85+9.08+41</f>
        <v>10165.459999999999</v>
      </c>
      <c r="H20" s="36">
        <v>1598</v>
      </c>
      <c r="I20" s="36">
        <f>5210.33</f>
        <v>5210.33</v>
      </c>
      <c r="J20" s="36">
        <v>2986.54</v>
      </c>
      <c r="K20" s="36">
        <f>6480.59+300</f>
        <v>6780.59</v>
      </c>
      <c r="L20" s="36">
        <f>2914.15+1150</f>
        <v>4064.15</v>
      </c>
      <c r="M20" s="36"/>
      <c r="N20" s="36"/>
      <c r="O20" s="270">
        <f t="shared" si="1"/>
        <v>48771.48</v>
      </c>
      <c r="P20" s="290">
        <f t="shared" si="0"/>
        <v>2.9740178495699897E-2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>
        <f>7389.08+153.8</f>
        <v>7542.88</v>
      </c>
      <c r="H21" s="36">
        <f>4225.12+50+4685+119.84</f>
        <v>9079.9599999999991</v>
      </c>
      <c r="I21" s="36">
        <f>4328.78+50</f>
        <v>4378.78</v>
      </c>
      <c r="J21" s="36">
        <f>3730.85+620</f>
        <v>4350.8500000000004</v>
      </c>
      <c r="K21" s="36">
        <f>6477.93+3205.12</f>
        <v>9683.0499999999993</v>
      </c>
      <c r="L21" s="36">
        <v>5703</v>
      </c>
      <c r="M21" s="36"/>
      <c r="N21" s="36"/>
      <c r="O21" s="270">
        <f t="shared" si="1"/>
        <v>69705.899999999994</v>
      </c>
      <c r="P21" s="290">
        <f t="shared" si="0"/>
        <v>4.2505700220772616E-2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>
        <f>7471.19+100</f>
        <v>7571.19</v>
      </c>
      <c r="H22" s="36">
        <v>1690.66</v>
      </c>
      <c r="I22" s="36">
        <f>5963.6+19</f>
        <v>5982.6</v>
      </c>
      <c r="J22" s="36">
        <f>4215.09+429</f>
        <v>4644.09</v>
      </c>
      <c r="K22" s="36">
        <f>5629.48+100</f>
        <v>5729.48</v>
      </c>
      <c r="L22" s="36">
        <f>10799.02+600</f>
        <v>11399.02</v>
      </c>
      <c r="M22" s="36"/>
      <c r="N22" s="36"/>
      <c r="O22" s="270">
        <f t="shared" si="1"/>
        <v>54786.119999999995</v>
      </c>
      <c r="P22" s="290">
        <f t="shared" si="0"/>
        <v>3.3407823340338122E-2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>
        <f>F5+F6+F7+F8+F9+F10+F11+F12+F13+F14+F15+F16+F17+F18+F19+F20+F21+F22</f>
        <v>193497.45999999996</v>
      </c>
      <c r="G23" s="133">
        <f t="shared" ref="G23:L23" si="2">G22+G21+G20+G19+G18+G17+G16+G15+G14+G13+G12+G11+G10+G9+G8+G7+G6+G5</f>
        <v>154316.09</v>
      </c>
      <c r="H23" s="133">
        <f t="shared" si="2"/>
        <v>151881.85999999999</v>
      </c>
      <c r="I23" s="133">
        <f t="shared" si="2"/>
        <v>126500.97</v>
      </c>
      <c r="J23" s="133">
        <f t="shared" si="2"/>
        <v>146518.54999999999</v>
      </c>
      <c r="K23" s="364">
        <f t="shared" si="2"/>
        <v>170542.62294999999</v>
      </c>
      <c r="L23" s="133">
        <f t="shared" si="2"/>
        <v>225181.31</v>
      </c>
      <c r="M23" s="133"/>
      <c r="N23" s="133"/>
      <c r="O23" s="53">
        <f t="shared" si="1"/>
        <v>1639918.87295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>
        <f>36348.73+5500+350+5000+4988+1440+475</f>
        <v>54101.73</v>
      </c>
      <c r="H24" s="36">
        <f>32477.82+5500+840+316.6+7658</f>
        <v>46792.42</v>
      </c>
      <c r="I24" s="36">
        <f>17507.12+10000+915+6294+642</f>
        <v>35358.119999999995</v>
      </c>
      <c r="J24" s="36">
        <f>20092.93+400+1200</f>
        <v>21692.93</v>
      </c>
      <c r="K24" s="36">
        <f>37930.49+885+2882.58+2050.54+361.86+225</f>
        <v>44335.47</v>
      </c>
      <c r="L24" s="36">
        <f>57762.6+15780.68+7250</f>
        <v>80793.279999999999</v>
      </c>
      <c r="M24" s="36"/>
      <c r="N24" s="36"/>
      <c r="O24" s="270">
        <f t="shared" si="1"/>
        <v>431701.2300000001</v>
      </c>
      <c r="P24" s="290">
        <f t="shared" si="0"/>
        <v>0.26324547946900928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>
        <v>71856.179999999993</v>
      </c>
      <c r="G26" s="138">
        <v>53626.73</v>
      </c>
      <c r="H26" s="138">
        <v>46792.42</v>
      </c>
      <c r="I26" s="138">
        <v>28422.12</v>
      </c>
      <c r="J26" s="138">
        <f>21692.93</f>
        <v>21692.93</v>
      </c>
      <c r="K26" s="138">
        <v>44110.47</v>
      </c>
      <c r="L26" s="138">
        <f>L24</f>
        <v>80793.279999999999</v>
      </c>
      <c r="M26" s="138"/>
      <c r="N26" s="138"/>
      <c r="O26" s="275">
        <f t="shared" si="1"/>
        <v>423545.23</v>
      </c>
      <c r="P26" s="292">
        <f t="shared" si="0"/>
        <v>0.2582720627137472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>
        <f>F23+F26</f>
        <v>265353.63999999996</v>
      </c>
      <c r="G27" s="159">
        <f>G26+G23</f>
        <v>207942.82</v>
      </c>
      <c r="H27" s="159">
        <f>H23+H24</f>
        <v>198674.27999999997</v>
      </c>
      <c r="I27" s="159">
        <f>I23+I24</f>
        <v>161859.09</v>
      </c>
      <c r="J27" s="159">
        <f>J24+J23</f>
        <v>168211.47999999998</v>
      </c>
      <c r="K27" s="159">
        <f>K23+K24</f>
        <v>214878.09294999999</v>
      </c>
      <c r="L27" s="159">
        <f>L24+L23</f>
        <v>305974.58999999997</v>
      </c>
      <c r="M27" s="159"/>
      <c r="N27" s="159"/>
      <c r="O27" s="159">
        <f t="shared" si="1"/>
        <v>2070625.1029500002</v>
      </c>
      <c r="P27" s="336">
        <f t="shared" si="0"/>
        <v>1.2626387421380278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J27" sqref="J27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27/6/62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3">
        <v>0</v>
      </c>
      <c r="I24" s="353">
        <v>0</v>
      </c>
      <c r="J24" s="353">
        <v>0</v>
      </c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>
        <v>0</v>
      </c>
      <c r="G27" s="357">
        <v>0</v>
      </c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3" zoomScaleNormal="100" workbookViewId="0">
      <selection activeCell="L20" sqref="L20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27/6/62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>
        <v>40942</v>
      </c>
      <c r="H5" s="92">
        <f>17883+7199.82+5000+15700</f>
        <v>45782.82</v>
      </c>
      <c r="I5" s="92">
        <f>30619+9000</f>
        <v>39619</v>
      </c>
      <c r="J5" s="92">
        <f>3240+135+55935.98+2568</f>
        <v>61878.98</v>
      </c>
      <c r="K5" s="92">
        <v>52094</v>
      </c>
      <c r="L5" s="92">
        <v>30018</v>
      </c>
      <c r="M5" s="92"/>
      <c r="N5" s="92"/>
      <c r="O5" s="310">
        <f>SUM(C5:N5)</f>
        <v>447425.32999999996</v>
      </c>
      <c r="P5" s="346">
        <f t="shared" ref="P5:P27" si="0">O5/$O$23</f>
        <v>0.19397436239372418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>
        <f>290+435+27760.6</f>
        <v>28485.599999999999</v>
      </c>
      <c r="H6" s="92">
        <f>12699.55+6300+660.3</f>
        <v>19659.849999999999</v>
      </c>
      <c r="I6" s="92">
        <v>29519.15</v>
      </c>
      <c r="J6" s="92">
        <f>642+27140+900</f>
        <v>28682</v>
      </c>
      <c r="K6" s="92">
        <f>26334+1280</f>
        <v>27614</v>
      </c>
      <c r="L6" s="92">
        <f>29745+2782+2160+642+1344</f>
        <v>36673</v>
      </c>
      <c r="M6" s="92"/>
      <c r="N6" s="92"/>
      <c r="O6" s="310">
        <f t="shared" ref="O6:O27" si="1">SUM(C6:N6)</f>
        <v>262852.28000000003</v>
      </c>
      <c r="P6" s="346">
        <f t="shared" si="0"/>
        <v>0.11395555861072208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>
        <f>2100+7899.78</f>
        <v>9999.7799999999988</v>
      </c>
      <c r="H7" s="92">
        <f>11633.66+3600+1040</f>
        <v>16273.66</v>
      </c>
      <c r="I7" s="92">
        <v>10387</v>
      </c>
      <c r="J7" s="92">
        <f>18502.66+642+5400</f>
        <v>24544.66</v>
      </c>
      <c r="K7" s="92">
        <v>8957</v>
      </c>
      <c r="L7" s="92">
        <v>13975</v>
      </c>
      <c r="M7" s="92"/>
      <c r="N7" s="92"/>
      <c r="O7" s="310">
        <f t="shared" si="1"/>
        <v>120525.89</v>
      </c>
      <c r="P7" s="346">
        <f t="shared" si="0"/>
        <v>5.2252143759241657E-2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>
        <v>16379</v>
      </c>
      <c r="H8" s="92">
        <v>17709.91</v>
      </c>
      <c r="I8" s="92">
        <f>37500+24220+3600</f>
        <v>65320</v>
      </c>
      <c r="J8" s="92">
        <f>32093+3250</f>
        <v>35343</v>
      </c>
      <c r="K8" s="92">
        <v>3170</v>
      </c>
      <c r="L8" s="92">
        <v>35120</v>
      </c>
      <c r="M8" s="92"/>
      <c r="N8" s="92"/>
      <c r="O8" s="310">
        <f t="shared" si="1"/>
        <v>239261.31</v>
      </c>
      <c r="P8" s="346">
        <f t="shared" si="0"/>
        <v>0.10372805681953051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>
        <f>7260+2700+725</f>
        <v>10685</v>
      </c>
      <c r="H9" s="92">
        <f>3556+2400</f>
        <v>5956</v>
      </c>
      <c r="I9" s="92">
        <f>6105.98+1450</f>
        <v>7555.98</v>
      </c>
      <c r="J9" s="92">
        <v>13008</v>
      </c>
      <c r="K9" s="92">
        <v>11832</v>
      </c>
      <c r="L9" s="92">
        <f>18399+1450</f>
        <v>19849</v>
      </c>
      <c r="M9" s="92"/>
      <c r="N9" s="92"/>
      <c r="O9" s="310">
        <f t="shared" si="1"/>
        <v>113665.94</v>
      </c>
      <c r="P9" s="346">
        <f t="shared" si="0"/>
        <v>4.9278118065830809E-2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>
        <f>2559</f>
        <v>2559</v>
      </c>
      <c r="H10" s="92">
        <v>3439</v>
      </c>
      <c r="I10" s="92">
        <f>9842.99+1800+1800</f>
        <v>13442.99</v>
      </c>
      <c r="J10" s="92">
        <v>3150</v>
      </c>
      <c r="K10" s="92">
        <v>750</v>
      </c>
      <c r="L10" s="92">
        <v>14074</v>
      </c>
      <c r="M10" s="92"/>
      <c r="N10" s="92"/>
      <c r="O10" s="310">
        <f t="shared" si="1"/>
        <v>78096.84</v>
      </c>
      <c r="P10" s="346">
        <f t="shared" si="0"/>
        <v>3.3857682451649967E-2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>
        <f>11820+1828</f>
        <v>13648</v>
      </c>
      <c r="H11" s="92">
        <v>6599.95</v>
      </c>
      <c r="I11" s="92">
        <v>6475</v>
      </c>
      <c r="J11" s="92">
        <v>18386.2</v>
      </c>
      <c r="K11" s="92">
        <v>4160</v>
      </c>
      <c r="L11" s="92">
        <f>4628+4025</f>
        <v>8653</v>
      </c>
      <c r="M11" s="92"/>
      <c r="N11" s="92"/>
      <c r="O11" s="310">
        <f t="shared" si="1"/>
        <v>85694.02</v>
      </c>
      <c r="P11" s="346">
        <f t="shared" si="0"/>
        <v>3.7151322859738517E-2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>
        <f>3649.95+2250+2100+1000</f>
        <v>8999.9500000000007</v>
      </c>
      <c r="H12" s="92">
        <v>10545.95</v>
      </c>
      <c r="I12" s="92">
        <f>3600+1300+2100</f>
        <v>7000</v>
      </c>
      <c r="J12" s="92">
        <f>8338+2500+12396</f>
        <v>23234</v>
      </c>
      <c r="K12" s="92">
        <v>18100</v>
      </c>
      <c r="L12" s="92">
        <f>14558.5+11695.5</f>
        <v>26254</v>
      </c>
      <c r="M12" s="92"/>
      <c r="N12" s="92"/>
      <c r="O12" s="310">
        <f t="shared" si="1"/>
        <v>184800.59</v>
      </c>
      <c r="P12" s="346">
        <f t="shared" si="0"/>
        <v>8.0117450246355165E-2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>
        <v>3454.99</v>
      </c>
      <c r="H13" s="92">
        <v>7133.99</v>
      </c>
      <c r="I13" s="92">
        <v>9366</v>
      </c>
      <c r="J13" s="92">
        <v>3810</v>
      </c>
      <c r="K13" s="92">
        <v>8522</v>
      </c>
      <c r="L13" s="92">
        <f>7043+396</f>
        <v>7439</v>
      </c>
      <c r="M13" s="92"/>
      <c r="N13" s="92"/>
      <c r="O13" s="310">
        <f t="shared" si="1"/>
        <v>69998.95</v>
      </c>
      <c r="P13" s="346">
        <f t="shared" si="0"/>
        <v>3.0346966932963272E-2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>
        <v>0</v>
      </c>
      <c r="H14" s="92">
        <f>6634.8+2887.99</f>
        <v>9522.7900000000009</v>
      </c>
      <c r="I14" s="92">
        <v>5912</v>
      </c>
      <c r="J14" s="92">
        <f>7861-392.2</f>
        <v>7468.8</v>
      </c>
      <c r="K14" s="92">
        <v>424</v>
      </c>
      <c r="L14" s="92">
        <v>9929</v>
      </c>
      <c r="M14" s="92"/>
      <c r="N14" s="92"/>
      <c r="O14" s="310">
        <f t="shared" si="1"/>
        <v>53294.570000000007</v>
      </c>
      <c r="P14" s="346">
        <f t="shared" si="0"/>
        <v>2.310504019698148E-2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>
        <v>14527</v>
      </c>
      <c r="H15" s="92">
        <v>12707.95</v>
      </c>
      <c r="I15" s="92">
        <f>10434+3600+720</f>
        <v>14754</v>
      </c>
      <c r="J15" s="92">
        <f>15039+900+280+810</f>
        <v>17029</v>
      </c>
      <c r="K15" s="92">
        <f>10136+1250</f>
        <v>11386</v>
      </c>
      <c r="L15" s="92">
        <v>13416.5</v>
      </c>
      <c r="M15" s="92"/>
      <c r="N15" s="92"/>
      <c r="O15" s="310">
        <f t="shared" si="1"/>
        <v>132198.35</v>
      </c>
      <c r="P15" s="346">
        <f t="shared" si="0"/>
        <v>5.7312559060418843E-2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>
        <f>5459+359.99</f>
        <v>5818.99</v>
      </c>
      <c r="H16" s="92">
        <v>4318.99</v>
      </c>
      <c r="I16" s="92">
        <f>5859+1800</f>
        <v>7659</v>
      </c>
      <c r="J16" s="92">
        <v>6552.5</v>
      </c>
      <c r="K16" s="92">
        <f>878+3737</f>
        <v>4615</v>
      </c>
      <c r="L16" s="92">
        <f>5496.5+560</f>
        <v>6056.5</v>
      </c>
      <c r="M16" s="92"/>
      <c r="N16" s="92"/>
      <c r="O16" s="310">
        <f t="shared" si="1"/>
        <v>53456.969999999994</v>
      </c>
      <c r="P16" s="346">
        <f t="shared" si="0"/>
        <v>2.3175446216356237E-2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>
        <v>0</v>
      </c>
      <c r="H17" s="92">
        <v>23323.58</v>
      </c>
      <c r="I17" s="92">
        <v>21315.02</v>
      </c>
      <c r="J17" s="92">
        <v>0</v>
      </c>
      <c r="K17" s="92">
        <v>30028</v>
      </c>
      <c r="L17" s="92">
        <v>0</v>
      </c>
      <c r="M17" s="92"/>
      <c r="N17" s="92"/>
      <c r="O17" s="310">
        <f t="shared" si="1"/>
        <v>103627.99</v>
      </c>
      <c r="P17" s="346">
        <f t="shared" si="0"/>
        <v>4.4926319407068947E-2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>
        <f>6690+24.1+899.98</f>
        <v>7614.08</v>
      </c>
      <c r="H18" s="92">
        <v>0</v>
      </c>
      <c r="I18" s="92">
        <f>6061.6+900</f>
        <v>6961.6</v>
      </c>
      <c r="J18" s="92">
        <v>0</v>
      </c>
      <c r="K18" s="92">
        <v>0</v>
      </c>
      <c r="L18" s="92">
        <f>695.5+162+560+4200+2250</f>
        <v>7867.5</v>
      </c>
      <c r="M18" s="92"/>
      <c r="N18" s="92"/>
      <c r="O18" s="310">
        <f t="shared" si="1"/>
        <v>40623.97</v>
      </c>
      <c r="P18" s="346">
        <f t="shared" si="0"/>
        <v>1.7611896668102766E-2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>
        <v>40007</v>
      </c>
      <c r="H19" s="92">
        <v>11489.95</v>
      </c>
      <c r="I19" s="92">
        <v>0</v>
      </c>
      <c r="J19" s="92">
        <v>37350</v>
      </c>
      <c r="K19" s="92">
        <v>8852</v>
      </c>
      <c r="L19" s="92">
        <v>9051</v>
      </c>
      <c r="M19" s="92"/>
      <c r="N19" s="92"/>
      <c r="O19" s="310">
        <f t="shared" si="1"/>
        <v>122617.9</v>
      </c>
      <c r="P19" s="346">
        <f t="shared" si="0"/>
        <v>5.3159102482100047E-2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>
        <f>2899.99+4940</f>
        <v>7839.99</v>
      </c>
      <c r="H20" s="92">
        <v>2970</v>
      </c>
      <c r="I20" s="92">
        <f>1576+9039.99</f>
        <v>10615.99</v>
      </c>
      <c r="J20" s="92">
        <v>4370</v>
      </c>
      <c r="K20" s="92">
        <f>5740.5+2880</f>
        <v>8620.5</v>
      </c>
      <c r="L20" s="92">
        <v>3778</v>
      </c>
      <c r="M20" s="92"/>
      <c r="N20" s="92"/>
      <c r="O20" s="310">
        <f t="shared" si="1"/>
        <v>63488.45</v>
      </c>
      <c r="P20" s="346">
        <f t="shared" si="0"/>
        <v>2.7524439906242766E-2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>
        <f>10685.99+145+630</f>
        <v>11460.99</v>
      </c>
      <c r="H21" s="92">
        <f>2268+6525</f>
        <v>8793</v>
      </c>
      <c r="I21" s="92">
        <f>7761.99+1800</f>
        <v>9561.99</v>
      </c>
      <c r="J21" s="92">
        <f>1820+10860</f>
        <v>12680</v>
      </c>
      <c r="K21" s="92">
        <f>7465+1841</f>
        <v>9306</v>
      </c>
      <c r="L21" s="92">
        <v>13936</v>
      </c>
      <c r="M21" s="92"/>
      <c r="N21" s="92"/>
      <c r="O21" s="310">
        <f t="shared" si="1"/>
        <v>105745.93</v>
      </c>
      <c r="P21" s="346">
        <f t="shared" si="0"/>
        <v>4.5844519682158788E-2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>
        <v>0</v>
      </c>
      <c r="H22" s="92">
        <f>2948.99+83</f>
        <v>3031.99</v>
      </c>
      <c r="I22" s="92">
        <f>2857.4+360+260</f>
        <v>3477.4</v>
      </c>
      <c r="J22" s="92">
        <f>2420+1688</f>
        <v>4108</v>
      </c>
      <c r="K22" s="92">
        <v>5673</v>
      </c>
      <c r="L22" s="92">
        <v>4347.3</v>
      </c>
      <c r="M22" s="92"/>
      <c r="N22" s="92"/>
      <c r="O22" s="310">
        <f t="shared" si="1"/>
        <v>32277.67</v>
      </c>
      <c r="P22" s="346">
        <f t="shared" si="0"/>
        <v>1.3993486818918007E-2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>
        <f>F5+F6+F7+F8+F9+F10+F11+F12+F13+F14+F15+F16+F17+F18+F19+F20+F21+F22</f>
        <v>263515.28999999998</v>
      </c>
      <c r="G23" s="96">
        <f>G5+G6+G7+G8+G9+G10+G11+G12+G13+G14+G15+G16+G17+G18+G19+G20+G21+G22</f>
        <v>222421.36999999997</v>
      </c>
      <c r="H23" s="96">
        <f>H21+H20+H19+H18+H17+H16+H15+H14+H13+H12+H11+H10+H9+H8+H7+H6+H5+H18</f>
        <v>206227.39</v>
      </c>
      <c r="I23" s="96">
        <f>I5+I6+I7+I8+I9+I10+I11+I12+I13+I14+I15+I16+I17+I18+I19+I20+I21+I22</f>
        <v>268942.12</v>
      </c>
      <c r="J23" s="96">
        <f>J5+J6+J7+J8+J9+J10+J11+J12+J13+J14+J15+J16+J17+J18+J19+J20+J21+J22</f>
        <v>301595.14</v>
      </c>
      <c r="K23" s="96">
        <f>K5+K6+K7+K8+K9+K10+K11+K12+K13+K14+K15+K16+K17+K18+K19+K20+K21+K22</f>
        <v>214103.5</v>
      </c>
      <c r="L23" s="96">
        <f>L5+L6+L7+L8+L9+L10+L11+L12+L13+L14+L15+L16+L17+L18+L19+L20+L21+L22</f>
        <v>260436.8</v>
      </c>
      <c r="M23" s="96"/>
      <c r="N23" s="96"/>
      <c r="O23" s="311">
        <f t="shared" si="1"/>
        <v>2306620.96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>
        <f>675+18248</f>
        <v>18923</v>
      </c>
      <c r="H24" s="93">
        <v>22221.95</v>
      </c>
      <c r="I24" s="93">
        <f>10979.6+1800</f>
        <v>12779.6</v>
      </c>
      <c r="J24" s="93">
        <f>13559.8+2312</f>
        <v>15871.8</v>
      </c>
      <c r="K24" s="93">
        <v>14347.25</v>
      </c>
      <c r="L24" s="93">
        <v>19001.5</v>
      </c>
      <c r="M24" s="93"/>
      <c r="N24" s="93"/>
      <c r="O24" s="312">
        <f t="shared" si="1"/>
        <v>166708.96</v>
      </c>
      <c r="P24" s="348">
        <f t="shared" si="0"/>
        <v>7.2274102633663739E-2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>
        <v>25109.98</v>
      </c>
      <c r="G26" s="99">
        <v>18923</v>
      </c>
      <c r="H26" s="99">
        <v>22221.95</v>
      </c>
      <c r="I26" s="99">
        <f>I24</f>
        <v>12779.6</v>
      </c>
      <c r="J26" s="99">
        <v>15871.8</v>
      </c>
      <c r="K26" s="99">
        <v>14347.25</v>
      </c>
      <c r="L26" s="99">
        <f>L24</f>
        <v>19001.5</v>
      </c>
      <c r="M26" s="99"/>
      <c r="N26" s="99"/>
      <c r="O26" s="313">
        <f t="shared" si="1"/>
        <v>166708.96</v>
      </c>
      <c r="P26" s="349">
        <f t="shared" si="0"/>
        <v>7.2274102633663739E-2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>
        <f>F26+F23</f>
        <v>288625.26999999996</v>
      </c>
      <c r="G27" s="159">
        <f>G26+G23</f>
        <v>241344.36999999997</v>
      </c>
      <c r="H27" s="159">
        <f>H23+H24</f>
        <v>228449.34000000003</v>
      </c>
      <c r="I27" s="159">
        <f>I24+I23</f>
        <v>281721.71999999997</v>
      </c>
      <c r="J27" s="159">
        <f>J24+J23</f>
        <v>317466.94</v>
      </c>
      <c r="K27" s="159">
        <f>K23+K26</f>
        <v>228450.75</v>
      </c>
      <c r="L27" s="365">
        <f>L24+L23</f>
        <v>279438.3</v>
      </c>
      <c r="M27" s="159"/>
      <c r="N27" s="159"/>
      <c r="O27" s="159">
        <f t="shared" si="1"/>
        <v>2473374.92</v>
      </c>
      <c r="P27" s="336">
        <f t="shared" si="0"/>
        <v>1.0722936116907564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6" t="s">
        <v>72</v>
      </c>
      <c r="H30" s="366"/>
      <c r="I30" s="366"/>
      <c r="J30" s="56"/>
      <c r="K30" s="56"/>
      <c r="L30" s="366" t="s">
        <v>49</v>
      </c>
      <c r="M30" s="366"/>
      <c r="N30" s="366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10" zoomScaleNormal="100" workbookViewId="0">
      <selection activeCell="L28" sqref="L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>รายงานข้อมูลณ วันที่ 27/6/62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>
        <v>9162.76</v>
      </c>
      <c r="H5" s="129">
        <v>11427.36</v>
      </c>
      <c r="I5" s="129">
        <v>8073.31</v>
      </c>
      <c r="J5" s="129">
        <v>7567.44</v>
      </c>
      <c r="K5" s="129">
        <v>11488.28</v>
      </c>
      <c r="L5" s="129">
        <v>6908.62</v>
      </c>
      <c r="M5" s="129"/>
      <c r="N5" s="129"/>
      <c r="O5" s="303">
        <f>SUM(C5:N5)</f>
        <v>75827.240000000005</v>
      </c>
      <c r="P5" s="290">
        <f t="shared" ref="P5:P27" si="0">O5/$O$23</f>
        <v>7.0642149988944483E-2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>
        <v>7871.63</v>
      </c>
      <c r="H6" s="129">
        <v>5018.12</v>
      </c>
      <c r="I6" s="129">
        <v>6422.87</v>
      </c>
      <c r="J6" s="129">
        <v>6275.12</v>
      </c>
      <c r="K6" s="129">
        <v>7986.45</v>
      </c>
      <c r="L6" s="129">
        <v>10193.27</v>
      </c>
      <c r="M6" s="129"/>
      <c r="N6" s="129"/>
      <c r="O6" s="303">
        <f t="shared" ref="O6:O27" si="1">SUM(C6:N6)</f>
        <v>59796.520000000004</v>
      </c>
      <c r="P6" s="290">
        <f t="shared" si="0"/>
        <v>5.5707615556848944E-2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>
        <v>2978.31</v>
      </c>
      <c r="H7" s="129">
        <v>8112.42</v>
      </c>
      <c r="I7" s="129">
        <v>5020.7299999999996</v>
      </c>
      <c r="J7" s="129">
        <v>1516.73</v>
      </c>
      <c r="K7" s="129">
        <v>4645.21</v>
      </c>
      <c r="L7" s="129">
        <v>3886.17</v>
      </c>
      <c r="M7" s="129"/>
      <c r="N7" s="129"/>
      <c r="O7" s="303">
        <f t="shared" si="1"/>
        <v>38125.53</v>
      </c>
      <c r="P7" s="290">
        <f t="shared" si="0"/>
        <v>3.5518494523445694E-2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>
        <v>8834.07</v>
      </c>
      <c r="H8" s="129">
        <v>14064.47</v>
      </c>
      <c r="I8" s="129">
        <v>8722.18</v>
      </c>
      <c r="J8" s="129">
        <v>8301.9599999999991</v>
      </c>
      <c r="K8" s="129">
        <v>9764.14</v>
      </c>
      <c r="L8" s="129">
        <v>11318.12</v>
      </c>
      <c r="M8" s="129"/>
      <c r="N8" s="129"/>
      <c r="O8" s="303">
        <f t="shared" si="1"/>
        <v>247089.44</v>
      </c>
      <c r="P8" s="290">
        <f t="shared" si="0"/>
        <v>0.23019338803791747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>
        <v>0</v>
      </c>
      <c r="H9" s="129">
        <v>6752.32</v>
      </c>
      <c r="I9" s="129">
        <v>3850.84</v>
      </c>
      <c r="J9" s="129">
        <v>10173.870000000001</v>
      </c>
      <c r="K9" s="129">
        <f>7433.52</f>
        <v>7433.52</v>
      </c>
      <c r="L9" s="129">
        <v>4397.4799999999996</v>
      </c>
      <c r="M9" s="129"/>
      <c r="N9" s="129"/>
      <c r="O9" s="303">
        <f t="shared" si="1"/>
        <v>52964.78</v>
      </c>
      <c r="P9" s="290">
        <f t="shared" si="0"/>
        <v>4.934303204087933E-2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>
        <v>3432.31</v>
      </c>
      <c r="H10" s="129">
        <v>4478.3900000000003</v>
      </c>
      <c r="I10" s="129">
        <v>10891.32</v>
      </c>
      <c r="J10" s="129">
        <v>3739.07</v>
      </c>
      <c r="K10" s="129">
        <v>5721.78</v>
      </c>
      <c r="L10" s="129">
        <v>6466.64</v>
      </c>
      <c r="M10" s="129"/>
      <c r="N10" s="129"/>
      <c r="O10" s="303">
        <f t="shared" si="1"/>
        <v>57137.5</v>
      </c>
      <c r="P10" s="290">
        <f t="shared" si="0"/>
        <v>5.32304201629034E-2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>
        <v>3483.71</v>
      </c>
      <c r="H11" s="129">
        <v>3603.95</v>
      </c>
      <c r="I11" s="129">
        <v>2500.1999999999998</v>
      </c>
      <c r="J11" s="129">
        <v>3974.25</v>
      </c>
      <c r="K11" s="129">
        <v>3174.87</v>
      </c>
      <c r="L11" s="129">
        <v>5246.35</v>
      </c>
      <c r="M11" s="129"/>
      <c r="N11" s="129"/>
      <c r="O11" s="303">
        <f t="shared" si="1"/>
        <v>30581.559999999998</v>
      </c>
      <c r="P11" s="290">
        <f t="shared" si="0"/>
        <v>2.8490383514102647E-2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>
        <v>9680.17</v>
      </c>
      <c r="H12" s="129">
        <v>9040.33</v>
      </c>
      <c r="I12" s="129">
        <v>5277.34</v>
      </c>
      <c r="J12" s="129">
        <v>5360.29</v>
      </c>
      <c r="K12" s="129">
        <v>7627.85</v>
      </c>
      <c r="L12" s="129">
        <v>9087.7099999999991</v>
      </c>
      <c r="M12" s="129"/>
      <c r="N12" s="129"/>
      <c r="O12" s="303">
        <f t="shared" si="1"/>
        <v>78685.889999999985</v>
      </c>
      <c r="P12" s="290">
        <f t="shared" si="0"/>
        <v>7.3305324622043283E-2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>
        <v>3858.6</v>
      </c>
      <c r="H13" s="129">
        <v>0</v>
      </c>
      <c r="I13" s="129">
        <v>4979.87</v>
      </c>
      <c r="J13" s="129">
        <v>4528.53</v>
      </c>
      <c r="K13" s="129">
        <v>3104.67</v>
      </c>
      <c r="L13" s="129">
        <v>6434.2</v>
      </c>
      <c r="M13" s="129"/>
      <c r="N13" s="129"/>
      <c r="O13" s="303">
        <f t="shared" si="1"/>
        <v>42959.259999999995</v>
      </c>
      <c r="P13" s="290">
        <f t="shared" si="0"/>
        <v>4.0021692578208867E-2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>
        <v>3122.4</v>
      </c>
      <c r="H14" s="129">
        <v>3776.16</v>
      </c>
      <c r="I14" s="129">
        <v>5965.52</v>
      </c>
      <c r="J14" s="129">
        <v>0</v>
      </c>
      <c r="K14" s="129">
        <v>5852.25</v>
      </c>
      <c r="L14" s="129">
        <v>0</v>
      </c>
      <c r="M14" s="129"/>
      <c r="N14" s="129"/>
      <c r="O14" s="303">
        <f t="shared" si="1"/>
        <v>36684.070000000007</v>
      </c>
      <c r="P14" s="290">
        <f t="shared" si="0"/>
        <v>3.4175602001931482E-2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>
        <v>2232.27</v>
      </c>
      <c r="H15" s="129">
        <v>2744.85</v>
      </c>
      <c r="I15" s="129">
        <v>3279.5</v>
      </c>
      <c r="J15" s="129">
        <v>2488.35</v>
      </c>
      <c r="K15" s="129">
        <v>775.09</v>
      </c>
      <c r="L15" s="129">
        <v>5934.56</v>
      </c>
      <c r="M15" s="129"/>
      <c r="N15" s="129"/>
      <c r="O15" s="303">
        <f t="shared" si="1"/>
        <v>34940.46</v>
      </c>
      <c r="P15" s="290">
        <f t="shared" si="0"/>
        <v>3.2551220590419948E-2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>
        <v>3752.78</v>
      </c>
      <c r="H16" s="129">
        <v>6882.76</v>
      </c>
      <c r="I16" s="129">
        <v>4253.7299999999996</v>
      </c>
      <c r="J16" s="129">
        <v>3296.19</v>
      </c>
      <c r="K16" s="129">
        <v>4417.3900000000003</v>
      </c>
      <c r="L16" s="129">
        <v>3866.95</v>
      </c>
      <c r="M16" s="129"/>
      <c r="N16" s="129"/>
      <c r="O16" s="303">
        <f t="shared" si="1"/>
        <v>45234.720000000001</v>
      </c>
      <c r="P16" s="290">
        <f t="shared" si="0"/>
        <v>4.2141555923015349E-2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>
        <v>4148.51</v>
      </c>
      <c r="H17" s="129">
        <v>4922.2</v>
      </c>
      <c r="I17" s="129">
        <v>3335.22</v>
      </c>
      <c r="J17" s="129">
        <v>1577.05</v>
      </c>
      <c r="K17" s="129">
        <v>8272.26</v>
      </c>
      <c r="L17" s="129">
        <v>5007.83</v>
      </c>
      <c r="M17" s="129"/>
      <c r="N17" s="129"/>
      <c r="O17" s="303">
        <f t="shared" si="1"/>
        <v>47338.280000000006</v>
      </c>
      <c r="P17" s="290">
        <f t="shared" si="0"/>
        <v>4.4101273842733178E-2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>
        <v>3311.17</v>
      </c>
      <c r="H18" s="129">
        <v>7353.74</v>
      </c>
      <c r="I18" s="129">
        <v>4464.12</v>
      </c>
      <c r="J18" s="129">
        <v>3793.02</v>
      </c>
      <c r="K18" s="129">
        <v>4791.9799999999996</v>
      </c>
      <c r="L18" s="129">
        <v>4980.2700000000004</v>
      </c>
      <c r="M18" s="129"/>
      <c r="N18" s="129"/>
      <c r="O18" s="303">
        <f t="shared" si="1"/>
        <v>48748.710000000006</v>
      </c>
      <c r="P18" s="290">
        <f t="shared" si="0"/>
        <v>4.5415258205198525E-2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>
        <v>4557.49</v>
      </c>
      <c r="H19" s="129">
        <v>5195.22</v>
      </c>
      <c r="I19" s="129">
        <v>6193.34</v>
      </c>
      <c r="J19" s="129">
        <v>6305.26</v>
      </c>
      <c r="K19" s="129">
        <v>5234.7299999999996</v>
      </c>
      <c r="L19" s="129">
        <v>8000.86</v>
      </c>
      <c r="M19" s="129"/>
      <c r="N19" s="129"/>
      <c r="O19" s="303">
        <f t="shared" si="1"/>
        <v>68945.98000000001</v>
      </c>
      <c r="P19" s="290">
        <f t="shared" si="0"/>
        <v>6.4231432665817281E-2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>
        <v>0</v>
      </c>
      <c r="H20" s="129">
        <v>6754.21</v>
      </c>
      <c r="I20" s="129">
        <v>0</v>
      </c>
      <c r="J20" s="129">
        <v>3951.72</v>
      </c>
      <c r="K20" s="129">
        <v>3045.53</v>
      </c>
      <c r="L20" s="129">
        <v>0</v>
      </c>
      <c r="M20" s="129"/>
      <c r="N20" s="129"/>
      <c r="O20" s="303">
        <f t="shared" si="1"/>
        <v>26163.06</v>
      </c>
      <c r="P20" s="290">
        <f t="shared" si="0"/>
        <v>2.4374021904130412E-2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>
        <v>5433.99</v>
      </c>
      <c r="H21" s="129">
        <v>5901.99</v>
      </c>
      <c r="I21" s="129">
        <v>4207.42</v>
      </c>
      <c r="J21" s="129">
        <v>5814.12</v>
      </c>
      <c r="K21" s="129">
        <v>5252.8</v>
      </c>
      <c r="L21" s="129">
        <v>6992.53</v>
      </c>
      <c r="M21" s="129"/>
      <c r="N21" s="129"/>
      <c r="O21" s="303">
        <f t="shared" si="1"/>
        <v>51728.229999999996</v>
      </c>
      <c r="P21" s="290">
        <f t="shared" si="0"/>
        <v>4.8191037710493184E-2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>
        <v>4175.9799999999996</v>
      </c>
      <c r="H22" s="129">
        <v>4546.93</v>
      </c>
      <c r="I22" s="129">
        <v>3255.1</v>
      </c>
      <c r="J22" s="129">
        <v>8160.38</v>
      </c>
      <c r="K22" s="129">
        <v>768.14</v>
      </c>
      <c r="L22" s="129">
        <v>9136.67</v>
      </c>
      <c r="M22" s="129"/>
      <c r="N22" s="129"/>
      <c r="O22" s="303">
        <f t="shared" si="1"/>
        <v>53524.789999999994</v>
      </c>
      <c r="P22" s="290">
        <f t="shared" si="0"/>
        <v>4.9864748384706538E-2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>
        <f>F5+F6+F7+F8+F9+F10+F11+F12+F13+F14+F15+F16+F17+F18+F19+F20+F21+F22</f>
        <v>103168.76</v>
      </c>
      <c r="G23" s="155">
        <f>G5+G6+G7+G8+G9+G10+G11+G12+G13+G14+G15+G16+G17+G18+G19+G20+G21+G22</f>
        <v>80036.150000000009</v>
      </c>
      <c r="H23" s="155">
        <f>H7+H8+H9+H10+H11+H12+H13+H14+++H15+H16+H17+H18+H19+H20+H21+H22</f>
        <v>94129.94</v>
      </c>
      <c r="I23" s="155">
        <f>I5+I6+I7+I8+I9+I10+I11+I12+I13+I14+I15+I16+I17+I18+I19+I20+I21+I22</f>
        <v>90692.609999999986</v>
      </c>
      <c r="J23" s="155">
        <f>J22+J21+J20+J19+J18+J17+J16+J15+J13+J12+J11+J10+J9+J8+J7+J6+J5</f>
        <v>86823.349999999991</v>
      </c>
      <c r="K23" s="155">
        <f>K5+K6+K7+K8+K9+K10+K11+K12+K13+K14+K15+K16+K17+K18+K19+K20+K21+K22</f>
        <v>99356.939999999988</v>
      </c>
      <c r="L23" s="155">
        <f>L5+L6+L7+L8+L9+L10+L11+L12+L13+L14+L15++L16+L17+L18+L19+L20+L21+L22</f>
        <v>107858.23</v>
      </c>
      <c r="M23" s="155"/>
      <c r="N23" s="155"/>
      <c r="O23" s="304">
        <f t="shared" si="1"/>
        <v>1073399.3799999999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>
        <v>103167.76</v>
      </c>
      <c r="G27" s="209">
        <v>80036.149999999994</v>
      </c>
      <c r="H27" s="209">
        <f>H23</f>
        <v>94129.94</v>
      </c>
      <c r="I27" s="209">
        <f>I23</f>
        <v>90692.609999999986</v>
      </c>
      <c r="J27" s="209">
        <v>86823.35</v>
      </c>
      <c r="K27" s="209">
        <f>K23</f>
        <v>99356.939999999988</v>
      </c>
      <c r="L27" s="209">
        <f>L23</f>
        <v>107858.23</v>
      </c>
      <c r="M27" s="209"/>
      <c r="N27" s="209"/>
      <c r="O27" s="209">
        <f t="shared" si="1"/>
        <v>1073398.3799999999</v>
      </c>
      <c r="P27" s="281">
        <f t="shared" si="0"/>
        <v>0.99999906838030783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>รายงานข้อมูลณ วันที่ 27/6/62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73301.430000000008</v>
      </c>
      <c r="G5" s="193">
        <f>'1.ยาทั่วไป'!G5+'2.ยาแพทย์ PCC'!G5+'3.ยาเรื้อรัง 25%'!G5+'4.ยาเรื้อรังฟรี'!G5</f>
        <v>70385.33</v>
      </c>
      <c r="H5" s="193">
        <f>'1.ยาทั่วไป'!H5+'2.ยาแพทย์ PCC'!H5+'3.ยาเรื้อรัง 25%'!H5+'4.ยาเรื้อรังฟรี'!H5</f>
        <v>61270.25</v>
      </c>
      <c r="I5" s="193">
        <f>'1.ยาทั่วไป'!I5+'2.ยาแพทย์ PCC'!I5+'3.ยาเรื้อรัง 25%'!I5+'4.ยาเรื้อรังฟรี'!I5</f>
        <v>63978.35</v>
      </c>
      <c r="J5" s="193">
        <f>'1.ยาทั่วไป'!J5+'2.ยาแพทย์ PCC'!J5+'3.ยาเรื้อรัง 25%'!J5+'4.ยาเรื้อรังฟรี'!J5</f>
        <v>82262.84</v>
      </c>
      <c r="K5" s="193">
        <f>'1.ยาทั่วไป'!K5+'2.ยาแพทย์ PCC'!K5+'3.ยาเรื้อรัง 25%'!K5+'4.ยาเรื้อรังฟรี'!K5</f>
        <v>81178.64</v>
      </c>
      <c r="L5" s="193">
        <f>'1.ยาทั่วไป'!L5+'2.ยาแพทย์ PCC'!L5+'3.ยาเรื้อรัง 25%'!L5+'4.ยาเรื้อรังฟรี'!L5</f>
        <v>52623.119999999995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667478.62</v>
      </c>
      <c r="P5" s="319">
        <f t="shared" ref="P5:P27" si="0">O5/$O$23</f>
        <v>0.16900024861465851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46497.100000000006</v>
      </c>
      <c r="G6" s="193">
        <f>'1.ยาทั่วไป'!G6+'2.ยาแพทย์ PCC'!G6+'3.ยาเรื้อรัง 25%'!G6+'4.ยาเรื้อรังฟรี'!G6</f>
        <v>41522.050000000003</v>
      </c>
      <c r="H6" s="193">
        <f>'1.ยาทั่วไป'!H6+'2.ยาแพทย์ PCC'!H6+'3.ยาเรื้อรัง 25%'!H6+'4.ยาเรื้อรังฟรี'!H6</f>
        <v>36799.019999999997</v>
      </c>
      <c r="I6" s="193">
        <f>'1.ยาทั่วไป'!I6+'2.ยาแพทย์ PCC'!I6+'3.ยาเรื้อรัง 25%'!I6+'4.ยาเรื้อรังฟรี'!I6</f>
        <v>43995.18</v>
      </c>
      <c r="J6" s="193">
        <f>'1.ยาทั่วไป'!J6+'2.ยาแพทย์ PCC'!J6+'3.ยาเรื้อรัง 25%'!J6+'4.ยาเรื้อรังฟรี'!J6</f>
        <v>40594.050000000003</v>
      </c>
      <c r="K6" s="193">
        <f>'1.ยาทั่วไป'!K6+'2.ยาแพทย์ PCC'!K6+'3.ยาเรื้อรัง 25%'!K6+'4.ยาเรื้อรังฟรี'!K6</f>
        <v>37878.222949999996</v>
      </c>
      <c r="L6" s="193">
        <f>'1.ยาทั่วไป'!L6+'2.ยาแพทย์ PCC'!L6+'3.ยาเรื้อรัง 25%'!L6+'4.ยาเรื้อรังฟรี'!L6</f>
        <v>50168.229999999996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406260.66295000003</v>
      </c>
      <c r="P6" s="319">
        <f t="shared" si="0"/>
        <v>0.10286195090549266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20041.47</v>
      </c>
      <c r="G7" s="193">
        <f>'1.ยาทั่วไป'!G7+'2.ยาแพทย์ PCC'!G7+'3.ยาเรื้อรัง 25%'!G7+'4.ยาเรื้อรังฟรี'!G7</f>
        <v>23695.17</v>
      </c>
      <c r="H7" s="193">
        <f>'1.ยาทั่วไป'!H7+'2.ยาแพทย์ PCC'!H7+'3.ยาเรื้อรัง 25%'!H7+'4.ยาเรื้อรังฟรี'!H7</f>
        <v>21809.19</v>
      </c>
      <c r="I7" s="193">
        <f>'1.ยาทั่วไป'!I7+'2.ยาแพทย์ PCC'!I7+'3.ยาเรื้อรัง 25%'!I7+'4.ยาเรื้อรังฟรี'!I7</f>
        <v>10387</v>
      </c>
      <c r="J7" s="193">
        <f>'1.ยาทั่วไป'!J7+'2.ยาแพทย์ PCC'!J7+'3.ยาเรื้อรัง 25%'!J7+'4.ยาเรื้อรังฟรี'!J7</f>
        <v>33974.160000000003</v>
      </c>
      <c r="K7" s="193">
        <f>'1.ยาทั่วไป'!K7+'2.ยาแพทย์ PCC'!K7+'3.ยาเรื้อรัง 25%'!K7+'4.ยาเรื้อรังฟรี'!K7</f>
        <v>25313.809999999998</v>
      </c>
      <c r="L7" s="193">
        <f>'1.ยาทั่วไป'!L7+'2.ยาแพทย์ PCC'!L7+'3.ยาเรื้อรัง 25%'!L7+'4.ยาเรื้อรังฟรี'!L7</f>
        <v>18868.77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185678.87</v>
      </c>
      <c r="P7" s="319">
        <f t="shared" si="0"/>
        <v>4.7012404970347747E-2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11017</v>
      </c>
      <c r="G8" s="193">
        <f>'1.ยาทั่วไป'!G8+'2.ยาแพทย์ PCC'!G8+'3.ยาเรื้อรัง 25%'!G8+'4.ยาเรื้อรังฟรี'!G8</f>
        <v>40905.08</v>
      </c>
      <c r="H8" s="193">
        <f>'1.ยาทั่วไป'!H8+'2.ยาแพทย์ PCC'!H8+'3.ยาเรื้อรัง 25%'!H8+'4.ยาเรื้อรังฟรี'!H8</f>
        <v>29591.82</v>
      </c>
      <c r="I8" s="193">
        <f>'1.ยาทั่วไป'!I8+'2.ยาแพทย์ PCC'!I8+'3.ยาเรื้อรัง 25%'!I8+'4.ยาเรื้อรังฟรี'!I8</f>
        <v>76939.63</v>
      </c>
      <c r="J8" s="193">
        <f>'1.ยาทั่วไป'!J8+'2.ยาแพทย์ PCC'!J8+'3.ยาเรื้อรัง 25%'!J8+'4.ยาเรื้อรังฟรี'!J8</f>
        <v>60058.759999999995</v>
      </c>
      <c r="K8" s="193">
        <f>'1.ยาทั่วไป'!K8+'2.ยาแพทย์ PCC'!K8+'3.ยาเรื้อรัง 25%'!K8+'4.ยาเรื้อรังฟรี'!K8</f>
        <v>10280.720000000001</v>
      </c>
      <c r="L8" s="193">
        <f>'1.ยาทั่วไป'!L8+'2.ยาแพทย์ PCC'!L8+'3.ยาเรื้อรัง 25%'!L8+'4.ยาเรื้อรังฟรี'!L8</f>
        <v>57394.1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379247.67000000004</v>
      </c>
      <c r="P8" s="319">
        <f t="shared" si="0"/>
        <v>9.6022477119237129E-2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38328.199999999997</v>
      </c>
      <c r="G9" s="193">
        <f>'1.ยาทั่วไป'!G9+'2.ยาแพทย์ PCC'!G9+'3.ยาเรื้อรัง 25%'!G9+'4.ยาเรื้อรังฟรี'!G9</f>
        <v>20024.2</v>
      </c>
      <c r="H9" s="193">
        <f>'1.ยาทั่วไป'!H9+'2.ยาแพทย์ PCC'!H9+'3.ยาเรื้อรัง 25%'!H9+'4.ยาเรื้อรังฟรี'!H9</f>
        <v>11881.52</v>
      </c>
      <c r="I9" s="193">
        <f>'1.ยาทั่วไป'!I9+'2.ยาแพทย์ PCC'!I9+'3.ยาเรื้อรัง 25%'!I9+'4.ยาเรื้อรังฟรี'!I9</f>
        <v>10433.66</v>
      </c>
      <c r="J9" s="193">
        <f>'1.ยาทั่วไป'!J9+'2.ยาแพทย์ PCC'!J9+'3.ยาเรื้อรัง 25%'!J9+'4.ยาเรื้อรังฟรี'!J9</f>
        <v>16877.86</v>
      </c>
      <c r="K9" s="193">
        <f>'1.ยาทั่วไป'!K9+'2.ยาแพทย์ PCC'!K9+'3.ยาเรื้อรัง 25%'!K9+'4.ยาเรื้อรังฟรี'!K9</f>
        <v>25883.040000000001</v>
      </c>
      <c r="L9" s="193">
        <f>'1.ยาทั่วไป'!L9+'2.ยาแพทย์ PCC'!L9+'3.ยาเรื้อรัง 25%'!L9+'4.ยาเรื้อรังฟรี'!L9</f>
        <v>22662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189338.66</v>
      </c>
      <c r="P9" s="319">
        <f t="shared" si="0"/>
        <v>4.7939034530224051E-2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12449.27</v>
      </c>
      <c r="G10" s="193">
        <f>'1.ยาทั่วไป'!G10+'2.ยาแพทย์ PCC'!G10+'3.ยาเรื้อรัง 25%'!G10+'4.ยาเรื้อรังฟรี'!G10</f>
        <v>6078.6100000000006</v>
      </c>
      <c r="H10" s="193">
        <f>'1.ยาทั่วไป'!H10+'2.ยาแพทย์ PCC'!H10+'3.ยาเรื้อรัง 25%'!H10+'4.ยาเรื้อรังฟรี'!H10</f>
        <v>8179</v>
      </c>
      <c r="I10" s="193">
        <f>'1.ยาทั่วไป'!I10+'2.ยาแพทย์ PCC'!I10+'3.ยาเรื้อรัง 25%'!I10+'4.ยาเรื้อรังฟรี'!I10</f>
        <v>16482.509999999998</v>
      </c>
      <c r="J10" s="193">
        <f>'1.ยาทั่วไป'!J10+'2.ยาแพทย์ PCC'!J10+'3.ยาเรื้อรัง 25%'!J10+'4.ยาเรื้อรังฟรี'!J10</f>
        <v>8459.49</v>
      </c>
      <c r="K10" s="193">
        <f>'1.ยาทั่วไป'!K10+'2.ยาแพทย์ PCC'!K10+'3.ยาเรื้อรัง 25%'!K10+'4.ยาเรื้อรังฟรี'!K10</f>
        <v>2582.2399999999998</v>
      </c>
      <c r="L10" s="193">
        <f>'1.ยาทั่วไป'!L10+'2.ยาแพทย์ PCC'!L10+'3.ยาเรื้อรัง 25%'!L10+'4.ยาเรื้อรังฟรี'!L10</f>
        <v>31308.27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142869.91</v>
      </c>
      <c r="P10" s="319">
        <f t="shared" si="0"/>
        <v>3.617351865076051E-2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28836.6</v>
      </c>
      <c r="G11" s="193">
        <f>'1.ยาทั่วไป'!G11+'2.ยาแพทย์ PCC'!G11+'3.ยาเรื้อรัง 25%'!G11+'4.ยาเรื้อรังฟรี'!G11</f>
        <v>19109.07</v>
      </c>
      <c r="H11" s="193">
        <f>'1.ยาทั่วไป'!H11+'2.ยาแพทย์ PCC'!H11+'3.ยาเรื้อรัง 25%'!H11+'4.ยาเรื้อรังฟรี'!H11</f>
        <v>7399.95</v>
      </c>
      <c r="I11" s="193">
        <f>'1.ยาทั่วไป'!I11+'2.ยาแพทย์ PCC'!I11+'3.ยาเรื้อรัง 25%'!I11+'4.ยาเรื้อรังฟรี'!I11</f>
        <v>10892.75</v>
      </c>
      <c r="J11" s="193">
        <f>'1.ยาทั่วไป'!J11+'2.ยาแพทย์ PCC'!J11+'3.ยาเรื้อรัง 25%'!J11+'4.ยาเรื้อรังฟรี'!J11</f>
        <v>28647.440000000002</v>
      </c>
      <c r="K11" s="193">
        <f>'1.ยาทั่วไป'!K11+'2.ยาแพทย์ PCC'!K11+'3.ยาเรื้อรัง 25%'!K11+'4.ยาเรื้อรังฟรี'!K11</f>
        <v>17606.23</v>
      </c>
      <c r="L11" s="193">
        <f>'1.ยาทั่วไป'!L11+'2.ยาแพทย์ PCC'!L11+'3.ยาเรื้อรัง 25%'!L11+'4.ยาเรื้อรังฟรี'!L11</f>
        <v>17736.34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160425.12</v>
      </c>
      <c r="P11" s="319">
        <f t="shared" si="0"/>
        <v>4.0618357429989926E-2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47119.25</v>
      </c>
      <c r="G12" s="193">
        <f>'1.ยาทั่วไป'!G12+'2.ยาแพทย์ PCC'!G12+'3.ยาเรื้อรัง 25%'!G12+'4.ยาเรื้อรังฟรี'!G12</f>
        <v>11003.25</v>
      </c>
      <c r="H12" s="193">
        <f>'1.ยาทั่วไป'!H12+'2.ยาแพทย์ PCC'!H12+'3.ยาเรื้อรัง 25%'!H12+'4.ยาเรื้อรังฟรี'!H12</f>
        <v>32675.910000000003</v>
      </c>
      <c r="I12" s="193">
        <f>'1.ยาทั่วไป'!I12+'2.ยาแพทย์ PCC'!I12+'3.ยาเรื้อรัง 25%'!I12+'4.ยาเรื้อรังฟรี'!I12</f>
        <v>9000</v>
      </c>
      <c r="J12" s="193">
        <f>'1.ยาทั่วไป'!J12+'2.ยาแพทย์ PCC'!J12+'3.ยาเรื้อรัง 25%'!J12+'4.ยาเรื้อรังฟรี'!J12</f>
        <v>35160.78</v>
      </c>
      <c r="K12" s="193">
        <f>'1.ยาทั่วไป'!K12+'2.ยาแพทย์ PCC'!K12+'3.ยาเรื้อรัง 25%'!K12+'4.ยาเรื้อรังฟรี'!K12</f>
        <v>39655.050000000003</v>
      </c>
      <c r="L12" s="193">
        <f>'1.ยาทั่วไป'!L12+'2.ยาแพทย์ PCC'!L12+'3.ยาเรื้อรัง 25%'!L12+'4.ยาเรื้อรังฟรี'!L12</f>
        <v>55967.93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345821.77</v>
      </c>
      <c r="P12" s="319">
        <f t="shared" si="0"/>
        <v>8.7559306553311414E-2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17466.22</v>
      </c>
      <c r="G13" s="193">
        <f>'1.ยาทั่วไป'!G13+'2.ยาแพทย์ PCC'!G13+'3.ยาเรื้อรัง 25%'!G13+'4.ยาเรื้อรังฟรี'!G13</f>
        <v>11390.17</v>
      </c>
      <c r="H13" s="193">
        <f>'1.ยาทั่วไป'!H13+'2.ยาแพทย์ PCC'!H13+'3.ยาเรื้อรัง 25%'!H13+'4.ยาเรื้อรังฟรี'!H13</f>
        <v>17229.169999999998</v>
      </c>
      <c r="I13" s="193">
        <f>'1.ยาทั่วไป'!I13+'2.ยาแพทย์ PCC'!I13+'3.ยาเรื้อรัง 25%'!I13+'4.ยาเรื้อรังฟรี'!I13</f>
        <v>21690.42</v>
      </c>
      <c r="J13" s="193">
        <f>'1.ยาทั่วไป'!J13+'2.ยาแพทย์ PCC'!J13+'3.ยาเรื้อรัง 25%'!J13+'4.ยาเรื้อรังฟรี'!J13</f>
        <v>4345.33</v>
      </c>
      <c r="K13" s="193">
        <f>'1.ยาทั่วไป'!K13+'2.ยาแพทย์ PCC'!K13+'3.ยาเรื้อรัง 25%'!K13+'4.ยาเรื้อรังฟรี'!K13</f>
        <v>11671.99</v>
      </c>
      <c r="L13" s="193">
        <f>'1.ยาทั่วไป'!L13+'2.ยาแพทย์ PCC'!L13+'3.ยาเรื้อรัง 25%'!L13+'4.ยาเรื้อรังฟรี'!L13</f>
        <v>19753.72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157242.19</v>
      </c>
      <c r="P13" s="319">
        <f t="shared" si="0"/>
        <v>3.9812465008562177E-2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13675.939999999999</v>
      </c>
      <c r="G14" s="193">
        <f>'1.ยาทั่วไป'!G14+'2.ยาแพทย์ PCC'!G14+'3.ยาเรื้อรัง 25%'!G14+'4.ยาเรื้อรังฟรี'!G14</f>
        <v>780</v>
      </c>
      <c r="H14" s="193">
        <f>'1.ยาทั่วไป'!H14+'2.ยาแพทย์ PCC'!H14+'3.ยาเรื้อรัง 25%'!H14+'4.ยาเรื้อรังฟรี'!H14</f>
        <v>22560.68</v>
      </c>
      <c r="I14" s="193">
        <f>'1.ยาทั่วไป'!I14+'2.ยาแพทย์ PCC'!I14+'3.ยาเรื้อรัง 25%'!I14+'4.ยาเรื้อรังฟรี'!I14</f>
        <v>9222</v>
      </c>
      <c r="J14" s="193">
        <f>'1.ยาทั่วไป'!J14+'2.ยาแพทย์ PCC'!J14+'3.ยาเรื้อรัง 25%'!J14+'4.ยาเรื้อรังฟรี'!J14</f>
        <v>12154.470000000001</v>
      </c>
      <c r="K14" s="193">
        <f>'1.ยาทั่วไป'!K14+'2.ยาแพทย์ PCC'!K14+'3.ยาเรื้อรัง 25%'!K14+'4.ยาเรื้อรังฟรี'!K14</f>
        <v>6898.6</v>
      </c>
      <c r="L14" s="193">
        <f>'1.ยาทั่วไป'!L14+'2.ยาแพทย์ PCC'!L14+'3.ยาเรื้อรัง 25%'!L14+'4.ยาเรื้อรังฟรี'!L14</f>
        <v>21068.52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116193.98</v>
      </c>
      <c r="P14" s="319">
        <f t="shared" si="0"/>
        <v>2.9419386507880445E-2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35588.490000000005</v>
      </c>
      <c r="G15" s="193">
        <f>'1.ยาทั่วไป'!G15+'2.ยาแพทย์ PCC'!G15+'3.ยาเรื้อรัง 25%'!G15+'4.ยาเรื้อรังฟรี'!G15</f>
        <v>18141.32</v>
      </c>
      <c r="H15" s="193">
        <f>'1.ยาทั่วไป'!H15+'2.ยาแพทย์ PCC'!H15+'3.ยาเรื้อรัง 25%'!H15+'4.ยาเรื้อรังฟรี'!H15</f>
        <v>21674.35</v>
      </c>
      <c r="I15" s="193">
        <f>'1.ยาทั่วไป'!I15+'2.ยาแพทย์ PCC'!I15+'3.ยาเรื้อรัง 25%'!I15+'4.ยาเรื้อรังฟรี'!I15</f>
        <v>23925.1</v>
      </c>
      <c r="J15" s="193">
        <f>'1.ยาทั่วไป'!J15+'2.ยาแพทย์ PCC'!J15+'3.ยาเรื้อรัง 25%'!J15+'4.ยาเรื้อรังฟรี'!J15</f>
        <v>24254.16</v>
      </c>
      <c r="K15" s="193">
        <f>'1.ยาทั่วไป'!K15+'2.ยาแพทย์ PCC'!K15+'3.ยาเรื้อรัง 25%'!K15+'4.ยาเรื้อรังฟรี'!K15</f>
        <v>15896</v>
      </c>
      <c r="L15" s="193">
        <f>'1.ยาทั่วไป'!L15+'2.ยาแพทย์ PCC'!L15+'3.ยาเรื้อรัง 25%'!L15+'4.ยาเรื้อรังฟรี'!L15</f>
        <v>27264.03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212701.27000000002</v>
      </c>
      <c r="P15" s="319">
        <f t="shared" si="0"/>
        <v>5.3854260546433094E-2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8068.3600000000006</v>
      </c>
      <c r="G16" s="193">
        <f>'1.ยาทั่วไป'!G16+'2.ยาแพทย์ PCC'!G16+'3.ยาเรื้อรัง 25%'!G16+'4.ยาเรื้อรังฟรี'!G16</f>
        <v>10562.09</v>
      </c>
      <c r="H16" s="193">
        <f>'1.ยาทั่วไป'!H16+'2.ยาแพทย์ PCC'!H16+'3.ยาเรื้อรัง 25%'!H16+'4.ยาเรื้อรังฟรี'!H16</f>
        <v>10041.67</v>
      </c>
      <c r="I16" s="193">
        <f>'1.ยาทั่วไป'!I16+'2.ยาแพทย์ PCC'!I16+'3.ยาเรื้อรัง 25%'!I16+'4.ยาเรื้อรังฟรี'!I16</f>
        <v>16007.08</v>
      </c>
      <c r="J16" s="193">
        <f>'1.ยาทั่วไป'!J16+'2.ยาแพทย์ PCC'!J16+'3.ยาเรื้อรัง 25%'!J16+'4.ยาเรื้อรังฟรี'!J16</f>
        <v>15214.369999999999</v>
      </c>
      <c r="K16" s="193">
        <f>'1.ยาทั่วไป'!K16+'2.ยาแพทย์ PCC'!K16+'3.ยาเรื้อรัง 25%'!K16+'4.ยาเรื้อรังฟรี'!K16</f>
        <v>10706.48</v>
      </c>
      <c r="L16" s="193">
        <f>'1.ยาทั่วไป'!L16+'2.ยาแพทย์ PCC'!L16+'3.ยาเรื้อรัง 25%'!L16+'4.ยาเรื้อรังฟรี'!L16</f>
        <v>14305.67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118892.66999999998</v>
      </c>
      <c r="P16" s="319">
        <f t="shared" si="0"/>
        <v>3.0102673233879083E-2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43357.509999999995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28873.340000000004</v>
      </c>
      <c r="I17" s="193">
        <f>'1.ยาทั่วไป'!I17+'2.ยาแพทย์ PCC'!I17+'3.ยาเรื้อรัง 25%'!I17+'4.ยาเรื้อรังฟรี'!I17</f>
        <v>31990.22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36318.160000000003</v>
      </c>
      <c r="L17" s="193">
        <f>'1.ยาทั่วไป'!L17+'2.ยาแพทย์ PCC'!L17+'3.ยาเรื้อรัง 25%'!L17+'4.ยาเรื้อรังฟรี'!L17</f>
        <v>19450.12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190323.87</v>
      </c>
      <c r="P17" s="319">
        <f t="shared" si="0"/>
        <v>4.818848182328888E-2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6616.52</v>
      </c>
      <c r="G18" s="193">
        <f>'1.ยาทั่วไป'!G18+'2.ยาแพทย์ PCC'!G18+'3.ยาเรื้อรัง 25%'!G18+'4.ยาเรื้อรังฟรี'!G18</f>
        <v>11227.51</v>
      </c>
      <c r="H18" s="193">
        <f>'1.ยาทั่วไป'!H18+'2.ยาแพทย์ PCC'!H18+'3.ยาเรื้อรัง 25%'!H18+'4.ยาเรื้อรังฟรี'!H18</f>
        <v>2236</v>
      </c>
      <c r="I18" s="193">
        <f>'1.ยาทั่วไป'!I18+'2.ยาแพทย์ PCC'!I18+'3.ยาเรื้อรัง 25%'!I18+'4.ยาเรื้อรังฟรี'!I18</f>
        <v>10163.44</v>
      </c>
      <c r="J18" s="193">
        <f>'1.ยาทั่วไป'!J18+'2.ยาแพทย์ PCC'!J18+'3.ยาเรื้อรัง 25%'!J18+'4.ยาเรื้อรังฟรี'!J18</f>
        <v>2675.12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14535.02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78775.220000000016</v>
      </c>
      <c r="P18" s="319">
        <f t="shared" si="0"/>
        <v>1.9945255721710489E-2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13477.5</v>
      </c>
      <c r="G19" s="193">
        <f>'1.ยาทั่วไป'!G19+'2.ยาแพทย์ PCC'!G19+'3.ยาเรื้อรัง 25%'!G19+'4.ยาเรื้อรังฟรี'!G19</f>
        <v>47333.1</v>
      </c>
      <c r="H19" s="193">
        <f>'1.ยาทั่วไป'!H19+'2.ยาแพทย์ PCC'!H19+'3.ยาเรื้อรัง 25%'!H19+'4.ยาเรื้อรังฟรี'!H19</f>
        <v>21755.760000000002</v>
      </c>
      <c r="I19" s="193">
        <f>'1.ยาทั่วไป'!I19+'2.ยาแพทย์ PCC'!I19+'3.ยาเรื้อรัง 25%'!I19+'4.ยาเรื้อรังฟรี'!I19</f>
        <v>1108.6600000000001</v>
      </c>
      <c r="J19" s="193">
        <f>'1.ยาทั่วไป'!J19+'2.ยาแพทย์ PCC'!J19+'3.ยาเรื้อรัง 25%'!J19+'4.ยาเรื้อรังฟรี'!J19</f>
        <v>50295.38</v>
      </c>
      <c r="K19" s="193">
        <f>'1.ยาทั่วไป'!K19+'2.ยาแพทย์ PCC'!K19+'3.ยาเรื้อรัง 25%'!K19+'4.ยาเรื้อรังฟรี'!K19</f>
        <v>16984.32</v>
      </c>
      <c r="L19" s="193">
        <f>'1.ยาทั่วไป'!L19+'2.ยาแพทย์ PCC'!L19+'3.ยาเรื้อรัง 25%'!L19+'4.ยาเรื้อรังฟรี'!L19</f>
        <v>19284.8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223545.79</v>
      </c>
      <c r="P19" s="319">
        <f t="shared" si="0"/>
        <v>5.6600006284486297E-2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13952.2</v>
      </c>
      <c r="G20" s="193">
        <f>'1.ยาทั่วไป'!G20+'2.ยาแพทย์ PCC'!G20+'3.ยาเรื้อรัง 25%'!G20+'4.ยาเรื้อรังฟรี'!G20</f>
        <v>18005.449999999997</v>
      </c>
      <c r="H20" s="193">
        <f>'1.ยาทั่วไป'!H20+'2.ยาแพทย์ PCC'!H20+'3.ยาเรื้อรัง 25%'!H20+'4.ยาเรื้อรังฟรี'!H20</f>
        <v>4568</v>
      </c>
      <c r="I20" s="193">
        <f>'1.ยาทั่วไป'!I20+'2.ยาแพทย์ PCC'!I20+'3.ยาเรื้อรัง 25%'!I20+'4.ยาเรื้อรังฟรี'!I20</f>
        <v>15826.32</v>
      </c>
      <c r="J20" s="193">
        <f>'1.ยาทั่วไป'!J20+'2.ยาแพทย์ PCC'!J20+'3.ยาเรื้อรัง 25%'!J20+'4.ยาเรื้อรังฟรี'!J20</f>
        <v>7356.54</v>
      </c>
      <c r="K20" s="193">
        <f>'1.ยาทั่วไป'!K20+'2.ยาแพทย์ PCC'!K20+'3.ยาเรื้อรัง 25%'!K20+'4.ยาเรื้อรังฟรี'!K20</f>
        <v>15401.09</v>
      </c>
      <c r="L20" s="193">
        <f>'1.ยาทั่วไป'!L20+'2.ยาแพทย์ PCC'!L20+'3.ยาเรื้อรัง 25%'!L20+'4.ยาเรื้อรังฟรี'!L20</f>
        <v>7842.15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112259.92999999998</v>
      </c>
      <c r="P20" s="319">
        <f t="shared" si="0"/>
        <v>2.8423316509320038E-2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18817.66</v>
      </c>
      <c r="G21" s="193">
        <f>'1.ยาทั่วไป'!G21+'2.ยาแพทย์ PCC'!G21+'3.ยาเรื้อรัง 25%'!G21+'4.ยาเรื้อรังฟรี'!G21</f>
        <v>19003.87</v>
      </c>
      <c r="H21" s="193">
        <f>'1.ยาทั่วไป'!H21+'2.ยาแพทย์ PCC'!H21+'3.ยาเรื้อรัง 25%'!H21+'4.ยาเรื้อรังฟรี'!H21</f>
        <v>17872.96</v>
      </c>
      <c r="I21" s="193">
        <f>'1.ยาทั่วไป'!I21+'2.ยาแพทย์ PCC'!I21+'3.ยาเรื้อรัง 25%'!I21+'4.ยาเรื้อรังฟรี'!I21</f>
        <v>13940.77</v>
      </c>
      <c r="J21" s="193">
        <f>'1.ยาทั่วไป'!J21+'2.ยาแพทย์ PCC'!J21+'3.ยาเรื้อรัง 25%'!J21+'4.ยาเรื้อรังฟรี'!J21</f>
        <v>17030.849999999999</v>
      </c>
      <c r="K21" s="193">
        <f>'1.ยาทั่วไป'!K21+'2.ยาแพทย์ PCC'!K21+'3.ยาเรื้อรัง 25%'!K21+'4.ยาเรื้อรังฟรี'!K21</f>
        <v>18989.05</v>
      </c>
      <c r="L21" s="193">
        <f>'1.ยาทั่วไป'!L21+'2.ยาแพทย์ PCC'!L21+'3.ยาเรื้อรัง 25%'!L21+'4.ยาเรื้อรังฟรี'!L21</f>
        <v>19639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175451.83</v>
      </c>
      <c r="P21" s="319">
        <f t="shared" si="0"/>
        <v>4.4423000230174862E-2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8402.0300000000007</v>
      </c>
      <c r="G22" s="193">
        <f>'1.ยาทั่วไป'!G22+'2.ยาแพทย์ PCC'!G22+'3.ยาเรื้อรัง 25%'!G22+'4.ยาเรื้อรังฟรี'!G22</f>
        <v>7571.19</v>
      </c>
      <c r="H22" s="193">
        <f>'1.ยาทั่วไป'!H22+'2.ยาแพทย์ PCC'!H22+'3.ยาเรื้อรัง 25%'!H22+'4.ยาเรื้อรังฟรี'!H22</f>
        <v>4722.6499999999996</v>
      </c>
      <c r="I22" s="193">
        <f>'1.ยาทั่วไป'!I22+'2.ยาแพทย์ PCC'!I22+'3.ยาเรื้อรัง 25%'!I22+'4.ยาเรื้อรังฟรี'!I22</f>
        <v>9460</v>
      </c>
      <c r="J22" s="193">
        <f>'1.ยาทั่วไป'!J22+'2.ยาแพทย์ PCC'!J22+'3.ยาเรื้อรัง 25%'!J22+'4.ยาเรื้อรังฟรี'!J22</f>
        <v>8752.09</v>
      </c>
      <c r="K22" s="193">
        <f>'1.ยาทั่วไป'!K22+'2.ยาแพทย์ PCC'!K22+'3.ยาเรื้อรัง 25%'!K22+'4.ยาเรื้อรังฟรี'!K22</f>
        <v>11402.48</v>
      </c>
      <c r="L22" s="193">
        <f>'1.ยาทั่วไป'!L22+'2.ยาแพทย์ PCC'!L22+'3.ยาเรื้อรัง 25%'!L22+'4.ยาเรื้อรังฟรี'!L22</f>
        <v>15746.32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87063.790000000008</v>
      </c>
      <c r="P22" s="319">
        <f t="shared" si="0"/>
        <v>2.2043855360242729E-2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457012.75000000006</v>
      </c>
      <c r="G23" s="195">
        <f t="shared" si="2"/>
        <v>376737.46</v>
      </c>
      <c r="H23" s="195">
        <f t="shared" si="2"/>
        <v>361141.24000000005</v>
      </c>
      <c r="I23" s="195">
        <f t="shared" si="2"/>
        <v>395443.09</v>
      </c>
      <c r="J23" s="195">
        <f t="shared" si="2"/>
        <v>448113.69</v>
      </c>
      <c r="K23" s="195">
        <f t="shared" si="2"/>
        <v>384646.12295000005</v>
      </c>
      <c r="L23" s="195">
        <f t="shared" si="2"/>
        <v>485618.11000000004</v>
      </c>
      <c r="M23" s="195">
        <f t="shared" si="2"/>
        <v>0</v>
      </c>
      <c r="N23" s="195">
        <f t="shared" si="2"/>
        <v>0</v>
      </c>
      <c r="O23" s="316">
        <f t="shared" si="1"/>
        <v>3949571.8229499999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72376.180000000008</v>
      </c>
      <c r="G24" s="193">
        <f>'1.ยาทั่วไป'!G24</f>
        <v>54101.73</v>
      </c>
      <c r="H24" s="193">
        <f>'1.ยาทั่วไป'!H24</f>
        <v>46792.42</v>
      </c>
      <c r="I24" s="193">
        <f>'1.ยาทั่วไป'!I24</f>
        <v>35358.119999999995</v>
      </c>
      <c r="J24" s="193">
        <f>'1.ยาทั่วไป'!J24</f>
        <v>21692.93</v>
      </c>
      <c r="K24" s="193">
        <f>'1.ยาทั่วไป'!K24</f>
        <v>44335.47</v>
      </c>
      <c r="L24" s="193">
        <f>'1.ยาทั่วไป'!L24</f>
        <v>80793.279999999999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431701.2300000001</v>
      </c>
      <c r="P24" s="319">
        <f t="shared" si="0"/>
        <v>0.10930329902889457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72376.180000000008</v>
      </c>
      <c r="G26" s="196">
        <f t="shared" si="3"/>
        <v>54101.73</v>
      </c>
      <c r="H26" s="196">
        <f t="shared" si="3"/>
        <v>46792.42</v>
      </c>
      <c r="I26" s="196">
        <f t="shared" si="3"/>
        <v>35358.119999999995</v>
      </c>
      <c r="J26" s="196">
        <f t="shared" si="3"/>
        <v>21692.93</v>
      </c>
      <c r="K26" s="196">
        <f t="shared" si="3"/>
        <v>44335.47</v>
      </c>
      <c r="L26" s="196">
        <f t="shared" si="3"/>
        <v>80793.279999999999</v>
      </c>
      <c r="M26" s="196">
        <f t="shared" si="3"/>
        <v>0</v>
      </c>
      <c r="N26" s="196">
        <f t="shared" si="3"/>
        <v>0</v>
      </c>
      <c r="O26" s="317">
        <f t="shared" si="1"/>
        <v>431701.2300000001</v>
      </c>
      <c r="P26" s="324">
        <f t="shared" si="0"/>
        <v>0.10930329902889457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529388.93000000005</v>
      </c>
      <c r="G27" s="205">
        <f t="shared" si="4"/>
        <v>430839.19</v>
      </c>
      <c r="H27" s="205">
        <f t="shared" si="4"/>
        <v>407933.66000000003</v>
      </c>
      <c r="I27" s="205">
        <f t="shared" si="4"/>
        <v>430801.21</v>
      </c>
      <c r="J27" s="205">
        <f t="shared" si="4"/>
        <v>469806.62</v>
      </c>
      <c r="K27" s="205">
        <f t="shared" si="4"/>
        <v>428981.59295000008</v>
      </c>
      <c r="L27" s="205">
        <f t="shared" si="4"/>
        <v>566411.39</v>
      </c>
      <c r="M27" s="205">
        <f t="shared" si="4"/>
        <v>0</v>
      </c>
      <c r="N27" s="205">
        <f t="shared" si="4"/>
        <v>0</v>
      </c>
      <c r="O27" s="205">
        <f t="shared" si="1"/>
        <v>4381273.0529500004</v>
      </c>
      <c r="P27" s="325">
        <f t="shared" si="0"/>
        <v>1.1093032990288947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27/6/62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73301.430000000008</v>
      </c>
      <c r="G5" s="202">
        <f>'1.1รวมยาทั้งหมด(1+2+3+4)'!G5+'5.vaccine'!G5</f>
        <v>79548.09</v>
      </c>
      <c r="H5" s="202">
        <f>'1.1รวมยาทั้งหมด(1+2+3+4)'!H5+'5.vaccine'!H5</f>
        <v>72697.61</v>
      </c>
      <c r="I5" s="202">
        <f>'1.1รวมยาทั้งหมด(1+2+3+4)'!I5+'5.vaccine'!I5</f>
        <v>72051.66</v>
      </c>
      <c r="J5" s="202">
        <f>'1.1รวมยาทั้งหมด(1+2+3+4)'!J5+'5.vaccine'!J5</f>
        <v>89830.28</v>
      </c>
      <c r="K5" s="202">
        <f>'1.1รวมยาทั้งหมด(1+2+3+4)'!K5+'5.vaccine'!K5</f>
        <v>92666.92</v>
      </c>
      <c r="L5" s="202">
        <f>'1.1รวมยาทั้งหมด(1+2+3+4)'!L5+'5.vaccine'!L5</f>
        <v>59531.74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743305.8600000001</v>
      </c>
      <c r="P5" s="330">
        <f t="shared" ref="P5:P27" si="0">O5/$O$23</f>
        <v>0.14730456054603153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48766.12</v>
      </c>
      <c r="G6" s="202">
        <f>'1.1รวมยาทั้งหมด(1+2+3+4)'!G6+'5.vaccine'!G6</f>
        <v>49393.68</v>
      </c>
      <c r="H6" s="202">
        <f>'1.1รวมยาทั้งหมด(1+2+3+4)'!H6+'5.vaccine'!H6</f>
        <v>41817.14</v>
      </c>
      <c r="I6" s="202">
        <f>'1.1รวมยาทั้งหมด(1+2+3+4)'!I6+'5.vaccine'!I6</f>
        <v>50418.05</v>
      </c>
      <c r="J6" s="202">
        <f>'1.1รวมยาทั้งหมด(1+2+3+4)'!J6+'5.vaccine'!J6</f>
        <v>46869.170000000006</v>
      </c>
      <c r="K6" s="202">
        <f>'1.1รวมยาทั้งหมด(1+2+3+4)'!K6+'5.vaccine'!K6</f>
        <v>45864.672949999993</v>
      </c>
      <c r="L6" s="202">
        <f>'1.1รวมยาทั้งหมด(1+2+3+4)'!L6+'5.vaccine'!L6</f>
        <v>60361.5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466057.18294999993</v>
      </c>
      <c r="P6" s="330">
        <f t="shared" si="0"/>
        <v>9.2360833161965306E-2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24430.190000000002</v>
      </c>
      <c r="G7" s="202">
        <f>'1.1รวมยาทั้งหมด(1+2+3+4)'!G7+'5.vaccine'!G7</f>
        <v>26673.48</v>
      </c>
      <c r="H7" s="202">
        <f>'1.1รวมยาทั้งหมด(1+2+3+4)'!H7+'5.vaccine'!H7</f>
        <v>29921.61</v>
      </c>
      <c r="I7" s="202">
        <f>'1.1รวมยาทั้งหมด(1+2+3+4)'!I7+'5.vaccine'!I7</f>
        <v>15407.73</v>
      </c>
      <c r="J7" s="202">
        <f>'1.1รวมยาทั้งหมด(1+2+3+4)'!J7+'5.vaccine'!J7</f>
        <v>35490.890000000007</v>
      </c>
      <c r="K7" s="202">
        <f>'1.1รวมยาทั้งหมด(1+2+3+4)'!K7+'5.vaccine'!K7</f>
        <v>29959.019999999997</v>
      </c>
      <c r="L7" s="202">
        <f>'1.1รวมยาทั้งหมด(1+2+3+4)'!L7+'5.vaccine'!L7</f>
        <v>22754.940000000002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223804.40000000002</v>
      </c>
      <c r="P7" s="330">
        <f t="shared" si="0"/>
        <v>4.4352413406599886E-2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23603.510000000002</v>
      </c>
      <c r="G8" s="202">
        <f>'1.1รวมยาทั้งหมด(1+2+3+4)'!G8+'5.vaccine'!G8</f>
        <v>49739.15</v>
      </c>
      <c r="H8" s="202">
        <f>'1.1รวมยาทั้งหมด(1+2+3+4)'!H8+'5.vaccine'!H8</f>
        <v>43656.29</v>
      </c>
      <c r="I8" s="202">
        <f>'1.1รวมยาทั้งหมด(1+2+3+4)'!I8+'5.vaccine'!I8</f>
        <v>85661.81</v>
      </c>
      <c r="J8" s="202">
        <f>'1.1รวมยาทั้งหมด(1+2+3+4)'!J8+'5.vaccine'!J8</f>
        <v>68360.72</v>
      </c>
      <c r="K8" s="202">
        <f>'1.1รวมยาทั้งหมด(1+2+3+4)'!K8+'5.vaccine'!K8</f>
        <v>20044.86</v>
      </c>
      <c r="L8" s="202">
        <f>'1.1รวมยาทั้งหมด(1+2+3+4)'!L8+'5.vaccine'!L8</f>
        <v>68712.22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626337.11</v>
      </c>
      <c r="P8" s="330">
        <f t="shared" si="0"/>
        <v>0.12412429082991676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52118.899999999994</v>
      </c>
      <c r="G9" s="202">
        <f>'1.1รวมยาทั้งหมด(1+2+3+4)'!G9+'5.vaccine'!G9</f>
        <v>20024.2</v>
      </c>
      <c r="H9" s="202">
        <f>'1.1รวมยาทั้งหมด(1+2+3+4)'!H9+'5.vaccine'!H9</f>
        <v>18633.84</v>
      </c>
      <c r="I9" s="202">
        <f>'1.1รวมยาทั้งหมด(1+2+3+4)'!I9+'5.vaccine'!I9</f>
        <v>14284.5</v>
      </c>
      <c r="J9" s="202">
        <f>'1.1รวมยาทั้งหมด(1+2+3+4)'!J9+'5.vaccine'!J9</f>
        <v>27051.730000000003</v>
      </c>
      <c r="K9" s="202">
        <f>'1.1รวมยาทั้งหมด(1+2+3+4)'!K9+'5.vaccine'!K9</f>
        <v>33316.559999999998</v>
      </c>
      <c r="L9" s="202">
        <f>'1.1รวมยาทั้งหมด(1+2+3+4)'!L9+'5.vaccine'!L9</f>
        <v>27059.48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242303.44</v>
      </c>
      <c r="P9" s="330">
        <f t="shared" si="0"/>
        <v>4.8018458710915736E-2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15600.99</v>
      </c>
      <c r="G10" s="202">
        <f>'1.1รวมยาทั้งหมด(1+2+3+4)'!G10+'5.vaccine'!G10</f>
        <v>9510.92</v>
      </c>
      <c r="H10" s="202">
        <f>'1.1รวมยาทั้งหมด(1+2+3+4)'!H10+'5.vaccine'!H10</f>
        <v>12657.39</v>
      </c>
      <c r="I10" s="202">
        <f>'1.1รวมยาทั้งหมด(1+2+3+4)'!I10+'5.vaccine'!I10</f>
        <v>27373.829999999998</v>
      </c>
      <c r="J10" s="202">
        <f>'1.1รวมยาทั้งหมด(1+2+3+4)'!J10+'5.vaccine'!J10</f>
        <v>12198.56</v>
      </c>
      <c r="K10" s="202">
        <f>'1.1รวมยาทั้งหมด(1+2+3+4)'!K10+'5.vaccine'!K10</f>
        <v>8304.02</v>
      </c>
      <c r="L10" s="202">
        <f>'1.1รวมยาทั้งหมด(1+2+3+4)'!L10+'5.vaccine'!L10</f>
        <v>37774.910000000003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200007.40999999997</v>
      </c>
      <c r="P10" s="330">
        <f t="shared" si="0"/>
        <v>3.9636447418832328E-2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34664.25</v>
      </c>
      <c r="G11" s="202">
        <f>'1.1รวมยาทั้งหมด(1+2+3+4)'!G11+'5.vaccine'!G11</f>
        <v>22592.78</v>
      </c>
      <c r="H11" s="202">
        <f>'1.1รวมยาทั้งหมด(1+2+3+4)'!H11+'5.vaccine'!H11</f>
        <v>11003.9</v>
      </c>
      <c r="I11" s="202">
        <f>'1.1รวมยาทั้งหมด(1+2+3+4)'!I11+'5.vaccine'!I11</f>
        <v>13392.95</v>
      </c>
      <c r="J11" s="202">
        <f>'1.1รวมยาทั้งหมด(1+2+3+4)'!J11+'5.vaccine'!J11</f>
        <v>32621.690000000002</v>
      </c>
      <c r="K11" s="202">
        <f>'1.1รวมยาทั้งหมด(1+2+3+4)'!K11+'5.vaccine'!K11</f>
        <v>20781.099999999999</v>
      </c>
      <c r="L11" s="202">
        <f>'1.1รวมยาทั้งหมด(1+2+3+4)'!L11+'5.vaccine'!L11</f>
        <v>22982.690000000002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191006.68000000002</v>
      </c>
      <c r="P11" s="330">
        <f t="shared" si="0"/>
        <v>3.7852728698730381E-2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54817.64</v>
      </c>
      <c r="G12" s="202">
        <f>'1.1รวมยาทั้งหมด(1+2+3+4)'!G12+'5.vaccine'!G12</f>
        <v>20683.419999999998</v>
      </c>
      <c r="H12" s="202">
        <f>'1.1รวมยาทั้งหมด(1+2+3+4)'!H12+'5.vaccine'!H12</f>
        <v>41716.240000000005</v>
      </c>
      <c r="I12" s="202">
        <f>'1.1รวมยาทั้งหมด(1+2+3+4)'!I12+'5.vaccine'!I12</f>
        <v>14277.34</v>
      </c>
      <c r="J12" s="202">
        <f>'1.1รวมยาทั้งหมด(1+2+3+4)'!J12+'5.vaccine'!J12</f>
        <v>40521.07</v>
      </c>
      <c r="K12" s="202">
        <f>'1.1รวมยาทั้งหมด(1+2+3+4)'!K12+'5.vaccine'!K12</f>
        <v>47282.9</v>
      </c>
      <c r="L12" s="202">
        <f>'1.1รวมยาทั้งหมด(1+2+3+4)'!L12+'5.vaccine'!L12</f>
        <v>65055.64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424507.66000000003</v>
      </c>
      <c r="P12" s="330">
        <f t="shared" si="0"/>
        <v>8.4126760825919175E-2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21848.49</v>
      </c>
      <c r="G13" s="202">
        <f>'1.1รวมยาทั้งหมด(1+2+3+4)'!G13+'5.vaccine'!G13</f>
        <v>15248.77</v>
      </c>
      <c r="H13" s="202">
        <f>'1.1รวมยาทั้งหมด(1+2+3+4)'!H13+'5.vaccine'!H13</f>
        <v>17229.169999999998</v>
      </c>
      <c r="I13" s="202">
        <f>'1.1รวมยาทั้งหมด(1+2+3+4)'!I13+'5.vaccine'!I13</f>
        <v>26670.289999999997</v>
      </c>
      <c r="J13" s="202">
        <f>'1.1รวมยาทั้งหมด(1+2+3+4)'!J13+'5.vaccine'!J13</f>
        <v>8873.86</v>
      </c>
      <c r="K13" s="202">
        <f>'1.1รวมยาทั้งหมด(1+2+3+4)'!K13+'5.vaccine'!K13</f>
        <v>14776.66</v>
      </c>
      <c r="L13" s="202">
        <f>'1.1รวมยาทั้งหมด(1+2+3+4)'!L13+'5.vaccine'!L13</f>
        <v>26187.920000000002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200201.45</v>
      </c>
      <c r="P13" s="330">
        <f t="shared" si="0"/>
        <v>3.9674901275402699E-2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16130.579999999998</v>
      </c>
      <c r="G14" s="202">
        <f>'1.1รวมยาทั้งหมด(1+2+3+4)'!G14+'5.vaccine'!G14</f>
        <v>3902.4</v>
      </c>
      <c r="H14" s="202">
        <f>'1.1รวมยาทั้งหมด(1+2+3+4)'!H14+'5.vaccine'!H14</f>
        <v>26336.84</v>
      </c>
      <c r="I14" s="202">
        <f>'1.1รวมยาทั้งหมด(1+2+3+4)'!I14+'5.vaccine'!I14</f>
        <v>15187.52</v>
      </c>
      <c r="J14" s="202">
        <f>'1.1รวมยาทั้งหมด(1+2+3+4)'!J14+'5.vaccine'!J14</f>
        <v>12154.470000000001</v>
      </c>
      <c r="K14" s="202">
        <f>'1.1รวมยาทั้งหมด(1+2+3+4)'!K14+'5.vaccine'!K14</f>
        <v>12750.85</v>
      </c>
      <c r="L14" s="202">
        <f>'1.1รวมยาทั้งหมด(1+2+3+4)'!L14+'5.vaccine'!L14</f>
        <v>21068.52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152878.04999999999</v>
      </c>
      <c r="P14" s="330">
        <f t="shared" si="0"/>
        <v>3.0296591462879399E-2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43923.540000000008</v>
      </c>
      <c r="G15" s="202">
        <f>'1.1รวมยาทั้งหมด(1+2+3+4)'!G15+'5.vaccine'!G15</f>
        <v>20373.59</v>
      </c>
      <c r="H15" s="202">
        <f>'1.1รวมยาทั้งหมด(1+2+3+4)'!H15+'5.vaccine'!H15</f>
        <v>24419.199999999997</v>
      </c>
      <c r="I15" s="202">
        <f>'1.1รวมยาทั้งหมด(1+2+3+4)'!I15+'5.vaccine'!I15</f>
        <v>27204.6</v>
      </c>
      <c r="J15" s="202">
        <f>'1.1รวมยาทั้งหมด(1+2+3+4)'!J15+'5.vaccine'!J15</f>
        <v>26742.51</v>
      </c>
      <c r="K15" s="202">
        <f>'1.1รวมยาทั้งหมด(1+2+3+4)'!K15+'5.vaccine'!K15</f>
        <v>16671.09</v>
      </c>
      <c r="L15" s="202">
        <f>'1.1รวมยาทั้งหมด(1+2+3+4)'!L15+'5.vaccine'!L15</f>
        <v>33198.589999999997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247641.73</v>
      </c>
      <c r="P15" s="330">
        <f t="shared" si="0"/>
        <v>4.90763737696202E-2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11298.27</v>
      </c>
      <c r="G16" s="202">
        <f>'1.1รวมยาทั้งหมด(1+2+3+4)'!G16+'5.vaccine'!G16</f>
        <v>14314.87</v>
      </c>
      <c r="H16" s="202">
        <f>'1.1รวมยาทั้งหมด(1+2+3+4)'!H16+'5.vaccine'!H16</f>
        <v>16924.43</v>
      </c>
      <c r="I16" s="202">
        <f>'1.1รวมยาทั้งหมด(1+2+3+4)'!I16+'5.vaccine'!I16</f>
        <v>20260.809999999998</v>
      </c>
      <c r="J16" s="202">
        <f>'1.1รวมยาทั้งหมด(1+2+3+4)'!J16+'5.vaccine'!J16</f>
        <v>18510.559999999998</v>
      </c>
      <c r="K16" s="202">
        <f>'1.1รวมยาทั้งหมด(1+2+3+4)'!K16+'5.vaccine'!K16</f>
        <v>15123.869999999999</v>
      </c>
      <c r="L16" s="202">
        <f>'1.1รวมยาทั้งหมด(1+2+3+4)'!L16+'5.vaccine'!L16</f>
        <v>18172.62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164127.38999999998</v>
      </c>
      <c r="P16" s="330">
        <f t="shared" si="0"/>
        <v>3.2525928232984905E-2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49846.729999999996</v>
      </c>
      <c r="G17" s="202">
        <f>'1.1รวมยาทั้งหมด(1+2+3+4)'!G17+'5.vaccine'!G17</f>
        <v>4148.51</v>
      </c>
      <c r="H17" s="202">
        <f>'1.1รวมยาทั้งหมด(1+2+3+4)'!H17+'5.vaccine'!H17</f>
        <v>33795.54</v>
      </c>
      <c r="I17" s="202">
        <f>'1.1รวมยาทั้งหมด(1+2+3+4)'!I17+'5.vaccine'!I17</f>
        <v>35325.440000000002</v>
      </c>
      <c r="J17" s="202">
        <f>'1.1รวมยาทั้งหมด(1+2+3+4)'!J17+'5.vaccine'!J17</f>
        <v>1577.05</v>
      </c>
      <c r="K17" s="202">
        <f>'1.1รวมยาทั้งหมด(1+2+3+4)'!K17+'5.vaccine'!K17</f>
        <v>44590.420000000006</v>
      </c>
      <c r="L17" s="202">
        <f>'1.1รวมยาทั้งหมด(1+2+3+4)'!L17+'5.vaccine'!L17</f>
        <v>24457.949999999997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237662.14999999997</v>
      </c>
      <c r="P17" s="330">
        <f t="shared" si="0"/>
        <v>4.7098671553827139E-2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13145.990000000002</v>
      </c>
      <c r="G18" s="202">
        <f>'1.1รวมยาทั้งหมด(1+2+3+4)'!G18+'5.vaccine'!G18</f>
        <v>14538.68</v>
      </c>
      <c r="H18" s="202">
        <f>'1.1รวมยาทั้งหมด(1+2+3+4)'!H18+'5.vaccine'!H18</f>
        <v>9589.74</v>
      </c>
      <c r="I18" s="202">
        <f>'1.1รวมยาทั้งหมด(1+2+3+4)'!I18+'5.vaccine'!I18</f>
        <v>14627.560000000001</v>
      </c>
      <c r="J18" s="202">
        <f>'1.1รวมยาทั้งหมด(1+2+3+4)'!J18+'5.vaccine'!J18</f>
        <v>6468.1399999999994</v>
      </c>
      <c r="K18" s="202">
        <f>'1.1รวมยาทั้งหมด(1+2+3+4)'!K18+'5.vaccine'!K18</f>
        <v>4791.9799999999996</v>
      </c>
      <c r="L18" s="202">
        <f>'1.1รวมยาทั้งหมด(1+2+3+4)'!L18+'5.vaccine'!L18</f>
        <v>19515.29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127523.93</v>
      </c>
      <c r="P18" s="330">
        <f t="shared" si="0"/>
        <v>2.5272041401305356E-2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20812.310000000001</v>
      </c>
      <c r="G19" s="202">
        <f>'1.1รวมยาทั้งหมด(1+2+3+4)'!G19+'5.vaccine'!G19</f>
        <v>51890.59</v>
      </c>
      <c r="H19" s="202">
        <f>'1.1รวมยาทั้งหมด(1+2+3+4)'!H19+'5.vaccine'!H19</f>
        <v>26950.980000000003</v>
      </c>
      <c r="I19" s="202">
        <f>'1.1รวมยาทั้งหมด(1+2+3+4)'!I19+'5.vaccine'!I19</f>
        <v>7302</v>
      </c>
      <c r="J19" s="202">
        <f>'1.1รวมยาทั้งหมด(1+2+3+4)'!J19+'5.vaccine'!J19</f>
        <v>56600.639999999999</v>
      </c>
      <c r="K19" s="202">
        <f>'1.1รวมยาทั้งหมด(1+2+3+4)'!K19+'5.vaccine'!K19</f>
        <v>22219.05</v>
      </c>
      <c r="L19" s="202">
        <f>'1.1รวมยาทั้งหมด(1+2+3+4)'!L19+'5.vaccine'!L19</f>
        <v>27285.66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292491.76999999996</v>
      </c>
      <c r="P19" s="330">
        <f t="shared" si="0"/>
        <v>5.79645257245529E-2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19381.86</v>
      </c>
      <c r="G20" s="202">
        <f>'1.1รวมยาทั้งหมด(1+2+3+4)'!G20+'5.vaccine'!G20</f>
        <v>18005.449999999997</v>
      </c>
      <c r="H20" s="202">
        <f>'1.1รวมยาทั้งหมด(1+2+3+4)'!H20+'5.vaccine'!H20</f>
        <v>11322.21</v>
      </c>
      <c r="I20" s="202">
        <f>'1.1รวมยาทั้งหมด(1+2+3+4)'!I20+'5.vaccine'!I20</f>
        <v>15826.32</v>
      </c>
      <c r="J20" s="202">
        <f>'1.1รวมยาทั้งหมด(1+2+3+4)'!J20+'5.vaccine'!J20</f>
        <v>11308.26</v>
      </c>
      <c r="K20" s="202">
        <f>'1.1รวมยาทั้งหมด(1+2+3+4)'!K20+'5.vaccine'!K20</f>
        <v>18446.62</v>
      </c>
      <c r="L20" s="202">
        <f>'1.1รวมยาทั้งหมด(1+2+3+4)'!L20+'5.vaccine'!L20</f>
        <v>7842.15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138422.99</v>
      </c>
      <c r="P20" s="330">
        <f t="shared" si="0"/>
        <v>2.743196146929033E-2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23538.14</v>
      </c>
      <c r="G21" s="202">
        <f>'1.1รวมยาทั้งหมด(1+2+3+4)'!G21+'5.vaccine'!G21</f>
        <v>24437.86</v>
      </c>
      <c r="H21" s="202">
        <f>'1.1รวมยาทั้งหมด(1+2+3+4)'!H21+'5.vaccine'!H21</f>
        <v>23774.949999999997</v>
      </c>
      <c r="I21" s="202">
        <f>'1.1รวมยาทั้งหมด(1+2+3+4)'!I21+'5.vaccine'!I21</f>
        <v>18148.190000000002</v>
      </c>
      <c r="J21" s="202">
        <f>'1.1รวมยาทั้งหมด(1+2+3+4)'!J21+'5.vaccine'!J21</f>
        <v>22844.969999999998</v>
      </c>
      <c r="K21" s="202">
        <f>'1.1รวมยาทั้งหมด(1+2+3+4)'!K21+'5.vaccine'!K21</f>
        <v>24241.85</v>
      </c>
      <c r="L21" s="202">
        <f>'1.1รวมยาทั้งหมด(1+2+3+4)'!L21+'5.vaccine'!L21</f>
        <v>26631.53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227180.06</v>
      </c>
      <c r="P21" s="330">
        <f t="shared" si="0"/>
        <v>4.5021384471691198E-2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12952.57</v>
      </c>
      <c r="G22" s="202">
        <f>'1.1รวมยาทั้งหมด(1+2+3+4)'!G22+'5.vaccine'!G22</f>
        <v>11747.169999999998</v>
      </c>
      <c r="H22" s="202">
        <f>'1.1รวมยาทั้งหมด(1+2+3+4)'!H22+'5.vaccine'!H22</f>
        <v>9269.58</v>
      </c>
      <c r="I22" s="202">
        <f>'1.1รวมยาทั้งหมด(1+2+3+4)'!I22+'5.vaccine'!I22</f>
        <v>12715.1</v>
      </c>
      <c r="J22" s="202">
        <f>'1.1รวมยาทั้งหมด(1+2+3+4)'!J22+'5.vaccine'!J22</f>
        <v>16912.47</v>
      </c>
      <c r="K22" s="202">
        <f>'1.1รวมยาทั้งหมด(1+2+3+4)'!K22+'5.vaccine'!K22</f>
        <v>12170.619999999999</v>
      </c>
      <c r="L22" s="202">
        <f>'1.1รวมยาทั้งหมด(1+2+3+4)'!L22+'5.vaccine'!L22</f>
        <v>24882.989999999998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140588.57999999999</v>
      </c>
      <c r="P22" s="330">
        <f t="shared" si="0"/>
        <v>2.7861127039534698E-2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560181.50999999989</v>
      </c>
      <c r="G23" s="214">
        <f t="shared" si="2"/>
        <v>456773.6100000001</v>
      </c>
      <c r="H23" s="214">
        <f t="shared" si="2"/>
        <v>471716.66000000003</v>
      </c>
      <c r="I23" s="214">
        <f t="shared" si="2"/>
        <v>486135.7</v>
      </c>
      <c r="J23" s="214">
        <f t="shared" si="2"/>
        <v>534937.04</v>
      </c>
      <c r="K23" s="214">
        <f t="shared" si="2"/>
        <v>484003.06294999988</v>
      </c>
      <c r="L23" s="214">
        <f t="shared" si="2"/>
        <v>593476.34000000008</v>
      </c>
      <c r="M23" s="214">
        <f t="shared" si="2"/>
        <v>0</v>
      </c>
      <c r="N23" s="214">
        <f t="shared" si="2"/>
        <v>0</v>
      </c>
      <c r="O23" s="318">
        <f t="shared" si="1"/>
        <v>5046047.8429500004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72376.180000000008</v>
      </c>
      <c r="G24" s="201">
        <f>'1.1รวมยาทั้งหมด(1+2+3+4)'!G24+'5.vaccine'!G24</f>
        <v>54101.73</v>
      </c>
      <c r="H24" s="201">
        <f>'1.1รวมยาทั้งหมด(1+2+3+4)'!H24+'5.vaccine'!H24</f>
        <v>46792.42</v>
      </c>
      <c r="I24" s="201">
        <f>'1.1รวมยาทั้งหมด(1+2+3+4)'!I24+'5.vaccine'!I24</f>
        <v>35358.119999999995</v>
      </c>
      <c r="J24" s="201">
        <f>'1.1รวมยาทั้งหมด(1+2+3+4)'!J24+'5.vaccine'!J24</f>
        <v>21692.93</v>
      </c>
      <c r="K24" s="201">
        <f>'1.1รวมยาทั้งหมด(1+2+3+4)'!K24+'5.vaccine'!K24</f>
        <v>44335.47</v>
      </c>
      <c r="L24" s="201">
        <f>'1.1รวมยาทั้งหมด(1+2+3+4)'!L24+'5.vaccine'!L24</f>
        <v>80793.279999999999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431701.2300000001</v>
      </c>
      <c r="P24" s="330">
        <f t="shared" si="0"/>
        <v>8.5552345803289215E-2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72376.180000000008</v>
      </c>
      <c r="G26" s="217">
        <f t="shared" si="3"/>
        <v>54101.73</v>
      </c>
      <c r="H26" s="217">
        <f t="shared" si="3"/>
        <v>46792.42</v>
      </c>
      <c r="I26" s="217">
        <f t="shared" si="3"/>
        <v>35358.119999999995</v>
      </c>
      <c r="J26" s="217">
        <f t="shared" si="3"/>
        <v>21692.93</v>
      </c>
      <c r="K26" s="217">
        <f t="shared" si="3"/>
        <v>44335.47</v>
      </c>
      <c r="L26" s="217">
        <f t="shared" si="3"/>
        <v>80793.279999999999</v>
      </c>
      <c r="M26" s="217">
        <f t="shared" si="3"/>
        <v>0</v>
      </c>
      <c r="N26" s="217">
        <f t="shared" si="3"/>
        <v>0</v>
      </c>
      <c r="O26" s="218">
        <f t="shared" si="1"/>
        <v>431701.2300000001</v>
      </c>
      <c r="P26" s="332">
        <f t="shared" si="0"/>
        <v>8.5552345803289215E-2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632557.68999999994</v>
      </c>
      <c r="G27" s="221">
        <f t="shared" si="4"/>
        <v>510875.34000000008</v>
      </c>
      <c r="H27" s="221">
        <f t="shared" si="4"/>
        <v>518509.08</v>
      </c>
      <c r="I27" s="221">
        <f t="shared" si="4"/>
        <v>521493.82</v>
      </c>
      <c r="J27" s="221">
        <f t="shared" si="4"/>
        <v>556629.97000000009</v>
      </c>
      <c r="K27" s="221">
        <f t="shared" si="4"/>
        <v>528338.53294999991</v>
      </c>
      <c r="L27" s="221">
        <f t="shared" si="4"/>
        <v>674269.62000000011</v>
      </c>
      <c r="M27" s="221">
        <f t="shared" si="4"/>
        <v>0</v>
      </c>
      <c r="N27" s="221">
        <f t="shared" si="4"/>
        <v>0</v>
      </c>
      <c r="O27" s="222">
        <f t="shared" si="1"/>
        <v>5477749.0729499999</v>
      </c>
      <c r="P27" s="333">
        <f t="shared" si="0"/>
        <v>1.0855523458032892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7" t="s">
        <v>73</v>
      </c>
      <c r="H30" s="367"/>
      <c r="I30" s="367"/>
      <c r="J30" s="3"/>
      <c r="K30" s="3"/>
      <c r="L30" s="367" t="s">
        <v>49</v>
      </c>
      <c r="M30" s="367"/>
      <c r="N30" s="367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>รายงานข้อมูลณ วันที่ 27/6/62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73301.430000000008</v>
      </c>
      <c r="G5" s="184">
        <f>'1.1รวมยาทั้งหมด(1+2+3+4)'!G5+'2.รวมวชย ทุกประเภท'!G5</f>
        <v>70385.33</v>
      </c>
      <c r="H5" s="184">
        <f>'1.1รวมยาทั้งหมด(1+2+3+4)'!H5+'2.รวมวชย ทุกประเภท'!H5</f>
        <v>61270.25</v>
      </c>
      <c r="I5" s="184">
        <f>'1.1รวมยาทั้งหมด(1+2+3+4)'!I5+'2.รวมวชย ทุกประเภท'!I5</f>
        <v>63978.35</v>
      </c>
      <c r="J5" s="184">
        <f>'1.1รวมยาทั้งหมด(1+2+3+4)'!J5+'2.รวมวชย ทุกประเภท'!J5</f>
        <v>82262.84</v>
      </c>
      <c r="K5" s="184">
        <f>'1.1รวมยาทั้งหมด(1+2+3+4)'!K5+'2.รวมวชย ทุกประเภท'!K5</f>
        <v>81178.64</v>
      </c>
      <c r="L5" s="184">
        <f>'1.1รวมยาทั้งหมด(1+2+3+4)'!L5+'2.รวมวชย ทุกประเภท'!L5</f>
        <v>52623.119999999995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667478.62</v>
      </c>
      <c r="P5" s="319">
        <f t="shared" ref="P5:P27" si="0">O5/$O$23</f>
        <v>0.16900024861465851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46497.100000000006</v>
      </c>
      <c r="G6" s="184">
        <f>'1.1รวมยาทั้งหมด(1+2+3+4)'!G6+'2.รวมวชย ทุกประเภท'!G6</f>
        <v>41522.050000000003</v>
      </c>
      <c r="H6" s="184">
        <f>'1.1รวมยาทั้งหมด(1+2+3+4)'!H6+'2.รวมวชย ทุกประเภท'!H6</f>
        <v>36799.019999999997</v>
      </c>
      <c r="I6" s="184">
        <f>'1.1รวมยาทั้งหมด(1+2+3+4)'!I6+'2.รวมวชย ทุกประเภท'!I6</f>
        <v>43995.18</v>
      </c>
      <c r="J6" s="184">
        <f>'1.1รวมยาทั้งหมด(1+2+3+4)'!J6+'2.รวมวชย ทุกประเภท'!J6</f>
        <v>40594.050000000003</v>
      </c>
      <c r="K6" s="184">
        <f>'1.1รวมยาทั้งหมด(1+2+3+4)'!K6+'2.รวมวชย ทุกประเภท'!K6</f>
        <v>37878.222949999996</v>
      </c>
      <c r="L6" s="184">
        <f>'1.1รวมยาทั้งหมด(1+2+3+4)'!L6+'2.รวมวชย ทุกประเภท'!L6</f>
        <v>50168.229999999996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406260.66295000003</v>
      </c>
      <c r="P6" s="319">
        <f t="shared" si="0"/>
        <v>0.10286195090549266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20041.47</v>
      </c>
      <c r="G7" s="184">
        <f>'1.1รวมยาทั้งหมด(1+2+3+4)'!G7+'2.รวมวชย ทุกประเภท'!G7</f>
        <v>23695.17</v>
      </c>
      <c r="H7" s="184">
        <f>'1.1รวมยาทั้งหมด(1+2+3+4)'!H7+'2.รวมวชย ทุกประเภท'!H7</f>
        <v>21809.19</v>
      </c>
      <c r="I7" s="184">
        <f>'1.1รวมยาทั้งหมด(1+2+3+4)'!I7+'2.รวมวชย ทุกประเภท'!I7</f>
        <v>10387</v>
      </c>
      <c r="J7" s="184">
        <f>'1.1รวมยาทั้งหมด(1+2+3+4)'!J7+'2.รวมวชย ทุกประเภท'!J7</f>
        <v>33974.160000000003</v>
      </c>
      <c r="K7" s="184">
        <f>'1.1รวมยาทั้งหมด(1+2+3+4)'!K7+'2.รวมวชย ทุกประเภท'!K7</f>
        <v>25313.809999999998</v>
      </c>
      <c r="L7" s="184">
        <f>'1.1รวมยาทั้งหมด(1+2+3+4)'!L7+'2.รวมวชย ทุกประเภท'!L7</f>
        <v>18868.77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185678.87</v>
      </c>
      <c r="P7" s="319">
        <f t="shared" si="0"/>
        <v>4.7012404970347747E-2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11017</v>
      </c>
      <c r="G8" s="184">
        <f>'1.1รวมยาทั้งหมด(1+2+3+4)'!G8+'2.รวมวชย ทุกประเภท'!G8</f>
        <v>40905.08</v>
      </c>
      <c r="H8" s="184">
        <f>'1.1รวมยาทั้งหมด(1+2+3+4)'!H8+'2.รวมวชย ทุกประเภท'!H8</f>
        <v>29591.82</v>
      </c>
      <c r="I8" s="184">
        <f>'1.1รวมยาทั้งหมด(1+2+3+4)'!I8+'2.รวมวชย ทุกประเภท'!I8</f>
        <v>76939.63</v>
      </c>
      <c r="J8" s="184">
        <f>'1.1รวมยาทั้งหมด(1+2+3+4)'!J8+'2.รวมวชย ทุกประเภท'!J8</f>
        <v>60058.759999999995</v>
      </c>
      <c r="K8" s="184">
        <f>'1.1รวมยาทั้งหมด(1+2+3+4)'!K8+'2.รวมวชย ทุกประเภท'!K8</f>
        <v>10280.720000000001</v>
      </c>
      <c r="L8" s="184">
        <f>'1.1รวมยาทั้งหมด(1+2+3+4)'!L8+'2.รวมวชย ทุกประเภท'!L8</f>
        <v>57394.1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379247.67000000004</v>
      </c>
      <c r="P8" s="319">
        <f t="shared" si="0"/>
        <v>9.6022477119237129E-2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38328.199999999997</v>
      </c>
      <c r="G9" s="184">
        <f>'1.1รวมยาทั้งหมด(1+2+3+4)'!G9+'2.รวมวชย ทุกประเภท'!G9</f>
        <v>20024.2</v>
      </c>
      <c r="H9" s="184">
        <f>'1.1รวมยาทั้งหมด(1+2+3+4)'!H9+'2.รวมวชย ทุกประเภท'!H9</f>
        <v>11881.52</v>
      </c>
      <c r="I9" s="184">
        <f>'1.1รวมยาทั้งหมด(1+2+3+4)'!I9+'2.รวมวชย ทุกประเภท'!I9</f>
        <v>10433.66</v>
      </c>
      <c r="J9" s="184">
        <f>'1.1รวมยาทั้งหมด(1+2+3+4)'!J9+'2.รวมวชย ทุกประเภท'!J9</f>
        <v>16877.86</v>
      </c>
      <c r="K9" s="184">
        <f>'1.1รวมยาทั้งหมด(1+2+3+4)'!K9+'2.รวมวชย ทุกประเภท'!K9</f>
        <v>25883.040000000001</v>
      </c>
      <c r="L9" s="184">
        <f>'1.1รวมยาทั้งหมด(1+2+3+4)'!L9+'2.รวมวชย ทุกประเภท'!L9</f>
        <v>22662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189338.66</v>
      </c>
      <c r="P9" s="319">
        <f t="shared" si="0"/>
        <v>4.7939034530224051E-2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12449.27</v>
      </c>
      <c r="G10" s="184">
        <f>'1.1รวมยาทั้งหมด(1+2+3+4)'!G10+'2.รวมวชย ทุกประเภท'!G10</f>
        <v>6078.6100000000006</v>
      </c>
      <c r="H10" s="184">
        <f>'1.1รวมยาทั้งหมด(1+2+3+4)'!H10+'2.รวมวชย ทุกประเภท'!H10</f>
        <v>8179</v>
      </c>
      <c r="I10" s="184">
        <f>'1.1รวมยาทั้งหมด(1+2+3+4)'!I10+'2.รวมวชย ทุกประเภท'!I10</f>
        <v>16482.509999999998</v>
      </c>
      <c r="J10" s="184">
        <f>'1.1รวมยาทั้งหมด(1+2+3+4)'!J10+'2.รวมวชย ทุกประเภท'!J10</f>
        <v>8459.49</v>
      </c>
      <c r="K10" s="184">
        <f>'1.1รวมยาทั้งหมด(1+2+3+4)'!K10+'2.รวมวชย ทุกประเภท'!K10</f>
        <v>2582.2399999999998</v>
      </c>
      <c r="L10" s="184">
        <f>'1.1รวมยาทั้งหมด(1+2+3+4)'!L10+'2.รวมวชย ทุกประเภท'!L10</f>
        <v>31308.27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142869.91</v>
      </c>
      <c r="P10" s="319">
        <f t="shared" si="0"/>
        <v>3.617351865076051E-2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28836.6</v>
      </c>
      <c r="G11" s="184">
        <f>'1.1รวมยาทั้งหมด(1+2+3+4)'!G11+'2.รวมวชย ทุกประเภท'!G11</f>
        <v>19109.07</v>
      </c>
      <c r="H11" s="184">
        <f>'1.1รวมยาทั้งหมด(1+2+3+4)'!H11+'2.รวมวชย ทุกประเภท'!H11</f>
        <v>7399.95</v>
      </c>
      <c r="I11" s="184">
        <f>'1.1รวมยาทั้งหมด(1+2+3+4)'!I11+'2.รวมวชย ทุกประเภท'!I11</f>
        <v>10892.75</v>
      </c>
      <c r="J11" s="184">
        <f>'1.1รวมยาทั้งหมด(1+2+3+4)'!J11+'2.รวมวชย ทุกประเภท'!J11</f>
        <v>28647.440000000002</v>
      </c>
      <c r="K11" s="184">
        <f>'1.1รวมยาทั้งหมด(1+2+3+4)'!K11+'2.รวมวชย ทุกประเภท'!K11</f>
        <v>17606.23</v>
      </c>
      <c r="L11" s="184">
        <f>'1.1รวมยาทั้งหมด(1+2+3+4)'!L11+'2.รวมวชย ทุกประเภท'!L11</f>
        <v>17736.34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160425.12</v>
      </c>
      <c r="P11" s="319">
        <f t="shared" si="0"/>
        <v>4.0618357429989926E-2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47119.25</v>
      </c>
      <c r="G12" s="184">
        <f>'1.1รวมยาทั้งหมด(1+2+3+4)'!G12+'2.รวมวชย ทุกประเภท'!G12</f>
        <v>11003.25</v>
      </c>
      <c r="H12" s="184">
        <f>'1.1รวมยาทั้งหมด(1+2+3+4)'!H12+'2.รวมวชย ทุกประเภท'!H12</f>
        <v>32675.910000000003</v>
      </c>
      <c r="I12" s="184">
        <f>'1.1รวมยาทั้งหมด(1+2+3+4)'!I12+'2.รวมวชย ทุกประเภท'!I12</f>
        <v>9000</v>
      </c>
      <c r="J12" s="184">
        <f>'1.1รวมยาทั้งหมด(1+2+3+4)'!J12+'2.รวมวชย ทุกประเภท'!J12</f>
        <v>35160.78</v>
      </c>
      <c r="K12" s="184">
        <f>'1.1รวมยาทั้งหมด(1+2+3+4)'!K12+'2.รวมวชย ทุกประเภท'!K12</f>
        <v>39655.050000000003</v>
      </c>
      <c r="L12" s="184">
        <f>'1.1รวมยาทั้งหมด(1+2+3+4)'!L12+'2.รวมวชย ทุกประเภท'!L12</f>
        <v>55967.93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345821.77</v>
      </c>
      <c r="P12" s="319">
        <f t="shared" si="0"/>
        <v>8.7559306553311414E-2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17466.22</v>
      </c>
      <c r="G13" s="184">
        <f>'1.1รวมยาทั้งหมด(1+2+3+4)'!G13+'2.รวมวชย ทุกประเภท'!G13</f>
        <v>11390.17</v>
      </c>
      <c r="H13" s="184">
        <f>'1.1รวมยาทั้งหมด(1+2+3+4)'!H13+'2.รวมวชย ทุกประเภท'!H13</f>
        <v>17229.169999999998</v>
      </c>
      <c r="I13" s="184">
        <f>'1.1รวมยาทั้งหมด(1+2+3+4)'!I13+'2.รวมวชย ทุกประเภท'!I13</f>
        <v>21690.42</v>
      </c>
      <c r="J13" s="184">
        <f>'1.1รวมยาทั้งหมด(1+2+3+4)'!J13+'2.รวมวชย ทุกประเภท'!J13</f>
        <v>4345.33</v>
      </c>
      <c r="K13" s="184">
        <f>'1.1รวมยาทั้งหมด(1+2+3+4)'!K13+'2.รวมวชย ทุกประเภท'!K13</f>
        <v>11671.99</v>
      </c>
      <c r="L13" s="184">
        <f>'1.1รวมยาทั้งหมด(1+2+3+4)'!L13+'2.รวมวชย ทุกประเภท'!L13</f>
        <v>19753.72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157242.19</v>
      </c>
      <c r="P13" s="319">
        <f t="shared" si="0"/>
        <v>3.9812465008562177E-2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13675.939999999999</v>
      </c>
      <c r="G14" s="184">
        <f>'1.1รวมยาทั้งหมด(1+2+3+4)'!G14+'2.รวมวชย ทุกประเภท'!G14</f>
        <v>780</v>
      </c>
      <c r="H14" s="184">
        <f>'1.1รวมยาทั้งหมด(1+2+3+4)'!H14+'2.รวมวชย ทุกประเภท'!H14</f>
        <v>22560.68</v>
      </c>
      <c r="I14" s="184">
        <f>'1.1รวมยาทั้งหมด(1+2+3+4)'!I14+'2.รวมวชย ทุกประเภท'!I14</f>
        <v>9222</v>
      </c>
      <c r="J14" s="184">
        <f>'1.1รวมยาทั้งหมด(1+2+3+4)'!J14+'2.รวมวชย ทุกประเภท'!J14</f>
        <v>12154.470000000001</v>
      </c>
      <c r="K14" s="184">
        <f>'1.1รวมยาทั้งหมด(1+2+3+4)'!K14+'2.รวมวชย ทุกประเภท'!K14</f>
        <v>6898.6</v>
      </c>
      <c r="L14" s="184">
        <f>'1.1รวมยาทั้งหมด(1+2+3+4)'!L14+'2.รวมวชย ทุกประเภท'!L14</f>
        <v>21068.52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116193.98</v>
      </c>
      <c r="P14" s="319">
        <f t="shared" si="0"/>
        <v>2.9419386507880445E-2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35588.490000000005</v>
      </c>
      <c r="G15" s="184">
        <f>'1.1รวมยาทั้งหมด(1+2+3+4)'!G15+'2.รวมวชย ทุกประเภท'!G15</f>
        <v>18141.32</v>
      </c>
      <c r="H15" s="184">
        <f>'1.1รวมยาทั้งหมด(1+2+3+4)'!H15+'2.รวมวชย ทุกประเภท'!H15</f>
        <v>21674.35</v>
      </c>
      <c r="I15" s="184">
        <f>'1.1รวมยาทั้งหมด(1+2+3+4)'!I15+'2.รวมวชย ทุกประเภท'!I15</f>
        <v>23925.1</v>
      </c>
      <c r="J15" s="184">
        <f>'1.1รวมยาทั้งหมด(1+2+3+4)'!J15+'2.รวมวชย ทุกประเภท'!J15</f>
        <v>24254.16</v>
      </c>
      <c r="K15" s="184">
        <f>'1.1รวมยาทั้งหมด(1+2+3+4)'!K15+'2.รวมวชย ทุกประเภท'!K15</f>
        <v>15896</v>
      </c>
      <c r="L15" s="184">
        <f>'1.1รวมยาทั้งหมด(1+2+3+4)'!L15+'2.รวมวชย ทุกประเภท'!L15</f>
        <v>27264.03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212701.27000000002</v>
      </c>
      <c r="P15" s="319">
        <f t="shared" si="0"/>
        <v>5.3854260546433094E-2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8068.3600000000006</v>
      </c>
      <c r="G16" s="184">
        <f>'1.1รวมยาทั้งหมด(1+2+3+4)'!G16+'2.รวมวชย ทุกประเภท'!G16</f>
        <v>10562.09</v>
      </c>
      <c r="H16" s="184">
        <f>'1.1รวมยาทั้งหมด(1+2+3+4)'!H16+'2.รวมวชย ทุกประเภท'!H16</f>
        <v>10041.67</v>
      </c>
      <c r="I16" s="184">
        <f>'1.1รวมยาทั้งหมด(1+2+3+4)'!I16+'2.รวมวชย ทุกประเภท'!I16</f>
        <v>16007.08</v>
      </c>
      <c r="J16" s="184">
        <f>'1.1รวมยาทั้งหมด(1+2+3+4)'!J16+'2.รวมวชย ทุกประเภท'!J16</f>
        <v>15214.369999999999</v>
      </c>
      <c r="K16" s="184">
        <f>'1.1รวมยาทั้งหมด(1+2+3+4)'!K16+'2.รวมวชย ทุกประเภท'!K16</f>
        <v>10706.48</v>
      </c>
      <c r="L16" s="184">
        <f>'1.1รวมยาทั้งหมด(1+2+3+4)'!L16+'2.รวมวชย ทุกประเภท'!L16</f>
        <v>14305.67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118892.66999999998</v>
      </c>
      <c r="P16" s="319">
        <f t="shared" si="0"/>
        <v>3.0102673233879083E-2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43357.509999999995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28873.340000000004</v>
      </c>
      <c r="I17" s="184">
        <f>'1.1รวมยาทั้งหมด(1+2+3+4)'!I17+'2.รวมวชย ทุกประเภท'!I17</f>
        <v>31990.22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36318.160000000003</v>
      </c>
      <c r="L17" s="184">
        <f>'1.1รวมยาทั้งหมด(1+2+3+4)'!L17+'2.รวมวชย ทุกประเภท'!L17</f>
        <v>19450.12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190323.87</v>
      </c>
      <c r="P17" s="319">
        <f t="shared" si="0"/>
        <v>4.818848182328888E-2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6616.52</v>
      </c>
      <c r="G18" s="184">
        <f>'1.1รวมยาทั้งหมด(1+2+3+4)'!G18+'2.รวมวชย ทุกประเภท'!G18</f>
        <v>11227.51</v>
      </c>
      <c r="H18" s="184">
        <f>'1.1รวมยาทั้งหมด(1+2+3+4)'!H18+'2.รวมวชย ทุกประเภท'!H18</f>
        <v>2236</v>
      </c>
      <c r="I18" s="184">
        <f>'1.1รวมยาทั้งหมด(1+2+3+4)'!I18+'2.รวมวชย ทุกประเภท'!I18</f>
        <v>10163.44</v>
      </c>
      <c r="J18" s="184">
        <f>'1.1รวมยาทั้งหมด(1+2+3+4)'!J18+'2.รวมวชย ทุกประเภท'!J18</f>
        <v>2675.12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14535.02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78775.220000000016</v>
      </c>
      <c r="P18" s="319">
        <f t="shared" si="0"/>
        <v>1.9945255721710489E-2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13477.5</v>
      </c>
      <c r="G19" s="184">
        <f>'1.1รวมยาทั้งหมด(1+2+3+4)'!G19+'2.รวมวชย ทุกประเภท'!G19</f>
        <v>47333.1</v>
      </c>
      <c r="H19" s="184">
        <f>'1.1รวมยาทั้งหมด(1+2+3+4)'!H19+'2.รวมวชย ทุกประเภท'!H19</f>
        <v>21755.760000000002</v>
      </c>
      <c r="I19" s="184">
        <f>'1.1รวมยาทั้งหมด(1+2+3+4)'!I19+'2.รวมวชย ทุกประเภท'!I19</f>
        <v>1108.6600000000001</v>
      </c>
      <c r="J19" s="184">
        <f>'1.1รวมยาทั้งหมด(1+2+3+4)'!J19+'2.รวมวชย ทุกประเภท'!J19</f>
        <v>50295.38</v>
      </c>
      <c r="K19" s="184">
        <f>'1.1รวมยาทั้งหมด(1+2+3+4)'!K19+'2.รวมวชย ทุกประเภท'!K19</f>
        <v>16984.32</v>
      </c>
      <c r="L19" s="184">
        <f>'1.1รวมยาทั้งหมด(1+2+3+4)'!L19+'2.รวมวชย ทุกประเภท'!L19</f>
        <v>19284.8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223545.79</v>
      </c>
      <c r="P19" s="319">
        <f t="shared" si="0"/>
        <v>5.6600006284486297E-2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13952.2</v>
      </c>
      <c r="G20" s="184">
        <f>'1.1รวมยาทั้งหมด(1+2+3+4)'!G20+'2.รวมวชย ทุกประเภท'!G20</f>
        <v>18005.449999999997</v>
      </c>
      <c r="H20" s="184">
        <f>'1.1รวมยาทั้งหมด(1+2+3+4)'!H20+'2.รวมวชย ทุกประเภท'!H20</f>
        <v>4568</v>
      </c>
      <c r="I20" s="184">
        <f>'1.1รวมยาทั้งหมด(1+2+3+4)'!I20+'2.รวมวชย ทุกประเภท'!I20</f>
        <v>15826.32</v>
      </c>
      <c r="J20" s="184">
        <f>'1.1รวมยาทั้งหมด(1+2+3+4)'!J20+'2.รวมวชย ทุกประเภท'!J20</f>
        <v>7356.54</v>
      </c>
      <c r="K20" s="184">
        <f>'1.1รวมยาทั้งหมด(1+2+3+4)'!K20+'2.รวมวชย ทุกประเภท'!K20</f>
        <v>15401.09</v>
      </c>
      <c r="L20" s="184">
        <f>'1.1รวมยาทั้งหมด(1+2+3+4)'!L20+'2.รวมวชย ทุกประเภท'!L20</f>
        <v>7842.15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112259.92999999998</v>
      </c>
      <c r="P20" s="319">
        <f t="shared" si="0"/>
        <v>2.8423316509320038E-2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18817.66</v>
      </c>
      <c r="G21" s="184">
        <f>'1.1รวมยาทั้งหมด(1+2+3+4)'!G21+'2.รวมวชย ทุกประเภท'!G21</f>
        <v>19003.87</v>
      </c>
      <c r="H21" s="184">
        <f>'1.1รวมยาทั้งหมด(1+2+3+4)'!H21+'2.รวมวชย ทุกประเภท'!H21</f>
        <v>17872.96</v>
      </c>
      <c r="I21" s="184">
        <f>'1.1รวมยาทั้งหมด(1+2+3+4)'!I21+'2.รวมวชย ทุกประเภท'!I21</f>
        <v>13940.77</v>
      </c>
      <c r="J21" s="184">
        <f>'1.1รวมยาทั้งหมด(1+2+3+4)'!J21+'2.รวมวชย ทุกประเภท'!J21</f>
        <v>17030.849999999999</v>
      </c>
      <c r="K21" s="184">
        <f>'1.1รวมยาทั้งหมด(1+2+3+4)'!K21+'2.รวมวชย ทุกประเภท'!K21</f>
        <v>18989.05</v>
      </c>
      <c r="L21" s="184">
        <f>'1.1รวมยาทั้งหมด(1+2+3+4)'!L21+'2.รวมวชย ทุกประเภท'!L21</f>
        <v>19639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175451.83</v>
      </c>
      <c r="P21" s="319">
        <f t="shared" si="0"/>
        <v>4.4423000230174862E-2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8402.0300000000007</v>
      </c>
      <c r="G22" s="184">
        <f>'1.1รวมยาทั้งหมด(1+2+3+4)'!G22+'2.รวมวชย ทุกประเภท'!G22</f>
        <v>7571.19</v>
      </c>
      <c r="H22" s="184">
        <f>'1.1รวมยาทั้งหมด(1+2+3+4)'!H22+'2.รวมวชย ทุกประเภท'!H22</f>
        <v>4722.6499999999996</v>
      </c>
      <c r="I22" s="184">
        <f>'1.1รวมยาทั้งหมด(1+2+3+4)'!I22+'2.รวมวชย ทุกประเภท'!I22</f>
        <v>9460</v>
      </c>
      <c r="J22" s="184">
        <f>'1.1รวมยาทั้งหมด(1+2+3+4)'!J22+'2.รวมวชย ทุกประเภท'!J22</f>
        <v>8752.09</v>
      </c>
      <c r="K22" s="184">
        <f>'1.1รวมยาทั้งหมด(1+2+3+4)'!K22+'2.รวมวชย ทุกประเภท'!K22</f>
        <v>11402.48</v>
      </c>
      <c r="L22" s="184">
        <f>'1.1รวมยาทั้งหมด(1+2+3+4)'!L22+'2.รวมวชย ทุกประเภท'!L22</f>
        <v>15746.32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87063.790000000008</v>
      </c>
      <c r="P22" s="319">
        <f t="shared" si="0"/>
        <v>2.2043855360242729E-2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457012.75000000006</v>
      </c>
      <c r="G23" s="189">
        <f t="shared" si="2"/>
        <v>376737.46</v>
      </c>
      <c r="H23" s="189">
        <f t="shared" si="2"/>
        <v>361141.24000000005</v>
      </c>
      <c r="I23" s="189">
        <f t="shared" si="2"/>
        <v>395443.09</v>
      </c>
      <c r="J23" s="189">
        <f t="shared" si="2"/>
        <v>448113.69</v>
      </c>
      <c r="K23" s="189">
        <f t="shared" si="2"/>
        <v>384646.12295000005</v>
      </c>
      <c r="L23" s="189">
        <f t="shared" si="2"/>
        <v>485618.11000000004</v>
      </c>
      <c r="M23" s="189">
        <f t="shared" si="2"/>
        <v>0</v>
      </c>
      <c r="N23" s="189">
        <f t="shared" si="2"/>
        <v>0</v>
      </c>
      <c r="O23" s="307">
        <f t="shared" si="1"/>
        <v>3949571.8229499999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457012.75000000006</v>
      </c>
      <c r="G27" s="206">
        <f t="shared" si="4"/>
        <v>376737.46</v>
      </c>
      <c r="H27" s="206">
        <f t="shared" si="4"/>
        <v>361141.24000000005</v>
      </c>
      <c r="I27" s="206">
        <f t="shared" si="4"/>
        <v>395443.09</v>
      </c>
      <c r="J27" s="206">
        <f t="shared" si="4"/>
        <v>448113.69</v>
      </c>
      <c r="K27" s="206">
        <f t="shared" si="4"/>
        <v>384646.12295000005</v>
      </c>
      <c r="L27" s="206">
        <f t="shared" si="4"/>
        <v>485618.11000000004</v>
      </c>
      <c r="M27" s="206">
        <f t="shared" si="4"/>
        <v>0</v>
      </c>
      <c r="N27" s="206">
        <f t="shared" si="4"/>
        <v>0</v>
      </c>
      <c r="O27" s="206">
        <f t="shared" si="1"/>
        <v>3949571.8229499999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2019-08-06T03:25:05Z</cp:lastPrinted>
  <dcterms:created xsi:type="dcterms:W3CDTF">2017-10-13T14:25:05Z</dcterms:created>
  <dcterms:modified xsi:type="dcterms:W3CDTF">2019-08-06T06:42:58Z</dcterms:modified>
</cp:coreProperties>
</file>