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7245" tabRatio="970" firstSheet="3" activeTab="3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5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J14" i="4" l="1"/>
  <c r="J23" i="6" l="1"/>
  <c r="J23" i="9"/>
  <c r="J27" i="7"/>
  <c r="J23" i="7"/>
  <c r="J22" i="7"/>
  <c r="J23" i="8"/>
  <c r="J23" i="11"/>
  <c r="J22" i="11"/>
  <c r="J21" i="7"/>
  <c r="J19" i="7"/>
  <c r="J18" i="7"/>
  <c r="J16" i="7"/>
  <c r="J15" i="7"/>
  <c r="J13" i="7"/>
  <c r="J12" i="11"/>
  <c r="J12" i="7"/>
  <c r="J11" i="7"/>
  <c r="J8" i="7"/>
  <c r="J7" i="11"/>
  <c r="J7" i="7"/>
  <c r="J6" i="7"/>
  <c r="J6" i="4"/>
  <c r="J7" i="4"/>
  <c r="J23" i="4"/>
  <c r="J27" i="4" s="1"/>
  <c r="J5" i="11"/>
  <c r="J5" i="7"/>
  <c r="J24" i="4"/>
  <c r="J22" i="4"/>
  <c r="J21" i="4"/>
  <c r="J15" i="4"/>
  <c r="J12" i="4"/>
  <c r="J8" i="4"/>
  <c r="J5" i="4"/>
  <c r="J27" i="2"/>
  <c r="J26" i="2"/>
  <c r="J24" i="2"/>
  <c r="J23" i="2"/>
  <c r="J22" i="2"/>
  <c r="J21" i="2"/>
  <c r="J19" i="2"/>
  <c r="J18" i="2"/>
  <c r="J16" i="2"/>
  <c r="J13" i="2"/>
  <c r="J12" i="2"/>
  <c r="J11" i="2"/>
  <c r="J10" i="2"/>
  <c r="J9" i="2"/>
  <c r="J8" i="2"/>
  <c r="J7" i="2"/>
  <c r="J6" i="2"/>
  <c r="J5" i="2"/>
  <c r="I27" i="9" l="1"/>
  <c r="I23" i="9"/>
  <c r="I23" i="11"/>
  <c r="I27" i="8"/>
  <c r="I23" i="8"/>
  <c r="I27" i="7"/>
  <c r="I23" i="7"/>
  <c r="I24" i="9"/>
  <c r="I24" i="7"/>
  <c r="I22" i="11"/>
  <c r="I22" i="7"/>
  <c r="I21" i="7"/>
  <c r="I20" i="7"/>
  <c r="I19" i="7"/>
  <c r="I18" i="7"/>
  <c r="I17" i="7"/>
  <c r="I16" i="7"/>
  <c r="I15" i="11"/>
  <c r="I15" i="7"/>
  <c r="I14" i="7"/>
  <c r="I13" i="7"/>
  <c r="I11" i="7"/>
  <c r="I11" i="2"/>
  <c r="I6" i="7"/>
  <c r="I5" i="7"/>
  <c r="I27" i="4"/>
  <c r="I26" i="4"/>
  <c r="I24" i="4"/>
  <c r="I23" i="4"/>
  <c r="I22" i="4"/>
  <c r="I21" i="4"/>
  <c r="I21" i="2"/>
  <c r="I20" i="4"/>
  <c r="I18" i="4"/>
  <c r="I16" i="4"/>
  <c r="I15" i="4"/>
  <c r="I12" i="4"/>
  <c r="I10" i="4"/>
  <c r="I9" i="4"/>
  <c r="I8" i="4"/>
  <c r="I5" i="4"/>
  <c r="I24" i="2"/>
  <c r="I23" i="2"/>
  <c r="I27" i="2" s="1"/>
  <c r="I22" i="2"/>
  <c r="I20" i="2"/>
  <c r="I19" i="2"/>
  <c r="I17" i="2"/>
  <c r="I15" i="2"/>
  <c r="I10" i="2"/>
  <c r="I8" i="2"/>
  <c r="I6" i="2"/>
  <c r="I5" i="2"/>
  <c r="I27" i="6" l="1"/>
  <c r="I23" i="6"/>
  <c r="H27" i="10" l="1"/>
  <c r="H23" i="10"/>
  <c r="H27" i="9"/>
  <c r="H23" i="9"/>
  <c r="H27" i="11"/>
  <c r="H23" i="11"/>
  <c r="H27" i="8"/>
  <c r="H23" i="8"/>
  <c r="H27" i="7"/>
  <c r="H23" i="7"/>
  <c r="H27" i="6"/>
  <c r="H23" i="6"/>
  <c r="H5" i="4"/>
  <c r="H24" i="7"/>
  <c r="H22" i="11"/>
  <c r="H21" i="7"/>
  <c r="H20" i="7"/>
  <c r="H19" i="7"/>
  <c r="H15" i="11"/>
  <c r="H15" i="7"/>
  <c r="H14" i="7"/>
  <c r="H13" i="11"/>
  <c r="H13" i="7"/>
  <c r="H12" i="7"/>
  <c r="H10" i="7"/>
  <c r="H8" i="7"/>
  <c r="H7" i="7"/>
  <c r="H5" i="7"/>
  <c r="H23" i="4"/>
  <c r="H27" i="4" s="1"/>
  <c r="H22" i="4"/>
  <c r="H21" i="4"/>
  <c r="H14" i="4"/>
  <c r="H9" i="4"/>
  <c r="H7" i="4"/>
  <c r="H6" i="4"/>
  <c r="H5" i="2"/>
  <c r="H24" i="2"/>
  <c r="H23" i="2"/>
  <c r="H27" i="2" s="1"/>
  <c r="H21" i="2"/>
  <c r="H19" i="2"/>
  <c r="H18" i="2"/>
  <c r="H17" i="2"/>
  <c r="H16" i="2"/>
  <c r="H15" i="2"/>
  <c r="H14" i="2"/>
  <c r="H12" i="2"/>
  <c r="H10" i="2"/>
  <c r="H9" i="2"/>
  <c r="H7" i="2"/>
  <c r="H6" i="2"/>
  <c r="G23" i="6" l="1"/>
  <c r="G27" i="9"/>
  <c r="G27" i="8"/>
  <c r="G27" i="7"/>
  <c r="G24" i="7"/>
  <c r="G23" i="9"/>
  <c r="G23" i="11"/>
  <c r="G23" i="8"/>
  <c r="G8" i="7"/>
  <c r="G23" i="7" s="1"/>
  <c r="G22" i="7"/>
  <c r="G21" i="7"/>
  <c r="G20" i="11"/>
  <c r="G20" i="7"/>
  <c r="G19" i="11"/>
  <c r="G19" i="8"/>
  <c r="G19" i="7"/>
  <c r="G18" i="11"/>
  <c r="G18" i="7"/>
  <c r="G16" i="11"/>
  <c r="G16" i="7"/>
  <c r="G15" i="7"/>
  <c r="G13" i="7"/>
  <c r="G11" i="7"/>
  <c r="G10" i="7"/>
  <c r="G9" i="7"/>
  <c r="G7" i="9"/>
  <c r="G7" i="7"/>
  <c r="G5" i="11"/>
  <c r="G5" i="7"/>
  <c r="G27" i="4"/>
  <c r="G24" i="2"/>
  <c r="G24" i="4"/>
  <c r="G23" i="4"/>
  <c r="G21" i="4"/>
  <c r="G20" i="4"/>
  <c r="G18" i="4"/>
  <c r="G16" i="4"/>
  <c r="G12" i="4"/>
  <c r="G11" i="4"/>
  <c r="G10" i="4"/>
  <c r="G9" i="4"/>
  <c r="G7" i="4"/>
  <c r="G6" i="4"/>
  <c r="G27" i="2"/>
  <c r="G23" i="2"/>
  <c r="G22" i="2"/>
  <c r="G21" i="2"/>
  <c r="G20" i="2"/>
  <c r="G18" i="2"/>
  <c r="G16" i="2"/>
  <c r="G15" i="2"/>
  <c r="G13" i="2"/>
  <c r="G12" i="2"/>
  <c r="G11" i="2"/>
  <c r="G9" i="2"/>
  <c r="G8" i="2"/>
  <c r="G7" i="2"/>
  <c r="G6" i="2"/>
  <c r="G5" i="2"/>
  <c r="F24" i="2" l="1"/>
  <c r="F17" i="11" l="1"/>
  <c r="F17" i="7"/>
  <c r="F17" i="2"/>
  <c r="F23" i="6" l="1"/>
  <c r="F27" i="8"/>
  <c r="F23" i="8"/>
  <c r="F27" i="11"/>
  <c r="F23" i="11"/>
  <c r="F23" i="9"/>
  <c r="F24" i="7"/>
  <c r="F23" i="7"/>
  <c r="F27" i="7" s="1"/>
  <c r="F21" i="9"/>
  <c r="F21" i="11"/>
  <c r="F21" i="7"/>
  <c r="F20" i="7"/>
  <c r="F18" i="11"/>
  <c r="F18" i="9"/>
  <c r="F18" i="7"/>
  <c r="F16" i="7"/>
  <c r="F15" i="7"/>
  <c r="F13" i="7"/>
  <c r="F13" i="11"/>
  <c r="F12" i="11"/>
  <c r="F12" i="7"/>
  <c r="F11" i="7"/>
  <c r="F9" i="7"/>
  <c r="F8" i="7"/>
  <c r="F7" i="7"/>
  <c r="F5" i="8"/>
  <c r="F5" i="7"/>
  <c r="F24" i="4"/>
  <c r="F23" i="4"/>
  <c r="F27" i="4" s="1"/>
  <c r="F21" i="4"/>
  <c r="F16" i="4"/>
  <c r="F15" i="4"/>
  <c r="F12" i="4"/>
  <c r="F11" i="4"/>
  <c r="F9" i="4"/>
  <c r="F8" i="4"/>
  <c r="F7" i="4"/>
  <c r="F6" i="4"/>
  <c r="F5" i="4"/>
  <c r="F23" i="2"/>
  <c r="F27" i="2" s="1"/>
  <c r="F22" i="2"/>
  <c r="F21" i="2"/>
  <c r="F20" i="2"/>
  <c r="F15" i="2"/>
  <c r="F13" i="2"/>
  <c r="F12" i="2"/>
  <c r="F11" i="2"/>
  <c r="F10" i="2"/>
  <c r="F9" i="2"/>
  <c r="F8" i="2"/>
  <c r="F6" i="2"/>
  <c r="F5" i="2"/>
  <c r="D23" i="12" l="1"/>
  <c r="E23" i="9"/>
  <c r="D23" i="9"/>
  <c r="E27" i="11"/>
  <c r="E23" i="11"/>
  <c r="D23" i="11"/>
  <c r="E23" i="8"/>
  <c r="D23" i="8"/>
  <c r="E27" i="7"/>
  <c r="D27" i="7"/>
  <c r="E23" i="7"/>
  <c r="E23" i="6" l="1"/>
  <c r="E16" i="6"/>
  <c r="E27" i="4"/>
  <c r="E23" i="4"/>
  <c r="E19" i="2"/>
  <c r="E19" i="7"/>
  <c r="E24" i="11"/>
  <c r="E24" i="7"/>
  <c r="E22" i="7"/>
  <c r="E21" i="7"/>
  <c r="E22" i="2"/>
  <c r="E20" i="7"/>
  <c r="E18" i="7"/>
  <c r="E17" i="7"/>
  <c r="E15" i="11"/>
  <c r="E16" i="7"/>
  <c r="E14" i="7"/>
  <c r="E13" i="7"/>
  <c r="E12" i="7"/>
  <c r="E10" i="9"/>
  <c r="E10" i="7"/>
  <c r="E9" i="7"/>
  <c r="E8" i="7"/>
  <c r="E7" i="7"/>
  <c r="E6" i="9"/>
  <c r="E6" i="7"/>
  <c r="E6" i="2"/>
  <c r="E23" i="2" s="1"/>
  <c r="E27" i="2" s="1"/>
  <c r="O23" i="12"/>
  <c r="E5" i="7"/>
  <c r="E7" i="4"/>
  <c r="E6" i="4"/>
  <c r="E24" i="2"/>
  <c r="E20" i="2"/>
  <c r="E17" i="2"/>
  <c r="E13" i="2"/>
  <c r="E12" i="2"/>
  <c r="E9" i="2"/>
  <c r="E8" i="2"/>
  <c r="E7" i="2"/>
  <c r="E5" i="2"/>
  <c r="D24" i="7" l="1"/>
  <c r="D23" i="6" l="1"/>
  <c r="D20" i="6"/>
  <c r="D23" i="7"/>
  <c r="D22" i="7"/>
  <c r="D21" i="7"/>
  <c r="D19" i="11"/>
  <c r="D19" i="7"/>
  <c r="D18" i="7"/>
  <c r="D16" i="11"/>
  <c r="D16" i="7"/>
  <c r="D15" i="11"/>
  <c r="D15" i="7"/>
  <c r="D14" i="7"/>
  <c r="D13" i="7"/>
  <c r="D13" i="9"/>
  <c r="D13" i="11"/>
  <c r="D12" i="11"/>
  <c r="D12" i="7"/>
  <c r="D11" i="9"/>
  <c r="D11" i="11"/>
  <c r="D11" i="7"/>
  <c r="D10" i="7"/>
  <c r="D9" i="7"/>
  <c r="D8" i="11"/>
  <c r="D8" i="7"/>
  <c r="D7" i="7"/>
  <c r="D7" i="10"/>
  <c r="D6" i="7"/>
  <c r="D5" i="9"/>
  <c r="D5" i="11"/>
  <c r="D5" i="7"/>
  <c r="D27" i="4"/>
  <c r="D24" i="4"/>
  <c r="D23" i="4"/>
  <c r="D22" i="4"/>
  <c r="D21" i="4"/>
  <c r="D16" i="4"/>
  <c r="D15" i="4"/>
  <c r="D13" i="4"/>
  <c r="D13" i="2"/>
  <c r="D23" i="2" s="1"/>
  <c r="D27" i="2" s="1"/>
  <c r="D12" i="4"/>
  <c r="D11" i="4"/>
  <c r="D10" i="4"/>
  <c r="D7" i="4"/>
  <c r="D6" i="4"/>
  <c r="D24" i="2"/>
  <c r="D22" i="2"/>
  <c r="D21" i="2"/>
  <c r="D18" i="2"/>
  <c r="D15" i="2"/>
  <c r="D14" i="2"/>
  <c r="D12" i="2"/>
  <c r="D11" i="2"/>
  <c r="D10" i="2"/>
  <c r="D8" i="2"/>
  <c r="D6" i="2"/>
  <c r="D5" i="2"/>
  <c r="C23" i="7" l="1"/>
  <c r="C27" i="9" l="1"/>
  <c r="C23" i="9"/>
  <c r="C23" i="11"/>
  <c r="C27" i="8"/>
  <c r="C23" i="8"/>
  <c r="C27" i="7"/>
  <c r="C14" i="7"/>
  <c r="C27" i="6"/>
  <c r="C23" i="6"/>
  <c r="C14" i="4"/>
  <c r="C14" i="2"/>
  <c r="C19" i="6" l="1"/>
  <c r="C18" i="6"/>
  <c r="C16" i="6"/>
  <c r="C13" i="6"/>
  <c r="C10" i="6"/>
  <c r="C8" i="6"/>
  <c r="C24" i="7"/>
  <c r="C22" i="7"/>
  <c r="C21" i="7"/>
  <c r="C20" i="7"/>
  <c r="C19" i="7"/>
  <c r="C18" i="7"/>
  <c r="C16" i="9"/>
  <c r="C16" i="7"/>
  <c r="C15" i="7"/>
  <c r="C13" i="7"/>
  <c r="C10" i="7"/>
  <c r="C9" i="9"/>
  <c r="C9" i="7"/>
  <c r="C8" i="7"/>
  <c r="C7" i="9"/>
  <c r="C7" i="8"/>
  <c r="C7" i="7"/>
  <c r="C5" i="7"/>
  <c r="C24" i="4"/>
  <c r="C23" i="4"/>
  <c r="C27" i="4" s="1"/>
  <c r="C20" i="4"/>
  <c r="C18" i="4"/>
  <c r="C15" i="4"/>
  <c r="C12" i="4"/>
  <c r="C11" i="4"/>
  <c r="C10" i="4"/>
  <c r="C9" i="4"/>
  <c r="C6" i="2"/>
  <c r="C23" i="2" s="1"/>
  <c r="C27" i="2" s="1"/>
  <c r="C6" i="4"/>
  <c r="C5" i="4"/>
  <c r="C26" i="2"/>
  <c r="C24" i="2"/>
  <c r="C22" i="2"/>
  <c r="C21" i="2"/>
  <c r="C20" i="2"/>
  <c r="C19" i="2"/>
  <c r="C18" i="2"/>
  <c r="C17" i="2"/>
  <c r="C16" i="2"/>
  <c r="C13" i="2"/>
  <c r="C12" i="2"/>
  <c r="C11" i="2"/>
  <c r="C10" i="2"/>
  <c r="C9" i="2"/>
  <c r="C5" i="2"/>
  <c r="K1" i="2"/>
  <c r="H25" i="13" l="1"/>
  <c r="H25" i="14" s="1"/>
  <c r="I25" i="13"/>
  <c r="I25" i="14" s="1"/>
  <c r="J25" i="13"/>
  <c r="K25" i="13"/>
  <c r="K25" i="14" s="1"/>
  <c r="L25" i="13"/>
  <c r="L25" i="14" s="1"/>
  <c r="M25" i="13"/>
  <c r="M25" i="14" s="1"/>
  <c r="N25" i="13"/>
  <c r="I24" i="13"/>
  <c r="I26" i="13" s="1"/>
  <c r="J24" i="13"/>
  <c r="J24" i="14" s="1"/>
  <c r="K24" i="13"/>
  <c r="K24" i="14" s="1"/>
  <c r="L24" i="13"/>
  <c r="L24" i="14" s="1"/>
  <c r="M24" i="13"/>
  <c r="N24" i="13"/>
  <c r="N24" i="14" s="1"/>
  <c r="L26" i="13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J5" i="13"/>
  <c r="K5" i="13"/>
  <c r="L5" i="13"/>
  <c r="M5" i="13"/>
  <c r="N5" i="13"/>
  <c r="N26" i="13" l="1"/>
  <c r="J26" i="13"/>
  <c r="N25" i="14"/>
  <c r="N23" i="13"/>
  <c r="N27" i="13" s="1"/>
  <c r="M26" i="13"/>
  <c r="M24" i="14"/>
  <c r="M23" i="13"/>
  <c r="M27" i="13" s="1"/>
  <c r="L23" i="13"/>
  <c r="L27" i="13" s="1"/>
  <c r="K26" i="13"/>
  <c r="K23" i="13"/>
  <c r="J25" i="14"/>
  <c r="J23" i="13"/>
  <c r="I24" i="14"/>
  <c r="I23" i="13"/>
  <c r="I27" i="13" s="1"/>
  <c r="J27" i="13" l="1"/>
  <c r="K27" i="13"/>
  <c r="P4" i="2" l="1"/>
  <c r="O5" i="11" l="1"/>
  <c r="N2" i="2" l="1"/>
  <c r="N2" i="17" l="1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C2" i="2"/>
  <c r="C2" i="17"/>
  <c r="D24" i="13"/>
  <c r="D24" i="14" s="1"/>
  <c r="E24" i="13"/>
  <c r="E24" i="14" s="1"/>
  <c r="F24" i="13"/>
  <c r="F24" i="14" s="1"/>
  <c r="G24" i="13"/>
  <c r="G24" i="14" s="1"/>
  <c r="H24" i="13"/>
  <c r="H24" i="14" s="1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C24" i="14" s="1"/>
  <c r="D5" i="13"/>
  <c r="E5" i="13"/>
  <c r="F5" i="13"/>
  <c r="G5" i="13"/>
  <c r="G5" i="14" s="1"/>
  <c r="H5" i="13"/>
  <c r="H5" i="14" s="1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6" i="14" s="1"/>
  <c r="C7" i="13"/>
  <c r="C7" i="14" s="1"/>
  <c r="C8" i="13"/>
  <c r="C8" i="14" s="1"/>
  <c r="C9" i="13"/>
  <c r="C9" i="14" s="1"/>
  <c r="C10" i="13"/>
  <c r="C10" i="14" s="1"/>
  <c r="C11" i="13"/>
  <c r="C11" i="14" s="1"/>
  <c r="C12" i="13"/>
  <c r="C12" i="14" s="1"/>
  <c r="C13" i="13"/>
  <c r="C13" i="14" s="1"/>
  <c r="C14" i="13"/>
  <c r="C14" i="14" s="1"/>
  <c r="C15" i="13"/>
  <c r="C15" i="14" s="1"/>
  <c r="C16" i="13"/>
  <c r="C16" i="14" s="1"/>
  <c r="C17" i="13"/>
  <c r="C17" i="14" s="1"/>
  <c r="C18" i="13"/>
  <c r="C18" i="14" s="1"/>
  <c r="C19" i="13"/>
  <c r="C19" i="14" s="1"/>
  <c r="C20" i="13"/>
  <c r="C20" i="14" s="1"/>
  <c r="C21" i="13"/>
  <c r="C21" i="14" s="1"/>
  <c r="C22" i="13"/>
  <c r="C22" i="14" s="1"/>
  <c r="C5" i="13"/>
  <c r="M27" i="12"/>
  <c r="L27" i="12"/>
  <c r="K27" i="12"/>
  <c r="J27" i="12"/>
  <c r="I27" i="12"/>
  <c r="H27" i="12"/>
  <c r="G27" i="12"/>
  <c r="F27" i="12"/>
  <c r="E27" i="12"/>
  <c r="D27" i="12"/>
  <c r="C27" i="12"/>
  <c r="C2" i="12"/>
  <c r="C2" i="10"/>
  <c r="O25" i="9"/>
  <c r="O24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C2" i="9"/>
  <c r="O25" i="11"/>
  <c r="O24" i="11"/>
  <c r="N27" i="11"/>
  <c r="M27" i="11"/>
  <c r="L27" i="11"/>
  <c r="K27" i="11"/>
  <c r="J27" i="11"/>
  <c r="I27" i="11"/>
  <c r="G27" i="11"/>
  <c r="D27" i="11"/>
  <c r="C27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C2" i="11"/>
  <c r="O25" i="8"/>
  <c r="O24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C2" i="8"/>
  <c r="O25" i="7"/>
  <c r="O24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C2" i="7"/>
  <c r="N26" i="16"/>
  <c r="M26" i="16"/>
  <c r="L26" i="16"/>
  <c r="K26" i="16"/>
  <c r="J26" i="16"/>
  <c r="I26" i="16"/>
  <c r="H26" i="16"/>
  <c r="G26" i="16"/>
  <c r="F26" i="16"/>
  <c r="E26" i="16"/>
  <c r="D26" i="16"/>
  <c r="C26" i="16"/>
  <c r="O26" i="16" s="1"/>
  <c r="O25" i="16"/>
  <c r="O24" i="16"/>
  <c r="C2" i="16"/>
  <c r="N26" i="14"/>
  <c r="M26" i="14"/>
  <c r="L26" i="14"/>
  <c r="K26" i="14"/>
  <c r="J26" i="14"/>
  <c r="I26" i="14"/>
  <c r="H26" i="14"/>
  <c r="G26" i="14"/>
  <c r="F26" i="14"/>
  <c r="E26" i="14"/>
  <c r="C26" i="14"/>
  <c r="C2" i="14"/>
  <c r="H26" i="13"/>
  <c r="G26" i="13"/>
  <c r="F26" i="13"/>
  <c r="E26" i="13"/>
  <c r="O19" i="13"/>
  <c r="C2" i="13"/>
  <c r="O25" i="6"/>
  <c r="O24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O25" i="4"/>
  <c r="O24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C2" i="4"/>
  <c r="C2" i="3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4" i="2"/>
  <c r="O25" i="2"/>
  <c r="O5" i="2"/>
  <c r="O13" i="13" l="1"/>
  <c r="O24" i="14"/>
  <c r="O25" i="14"/>
  <c r="E23" i="13"/>
  <c r="E27" i="13" s="1"/>
  <c r="D26" i="14"/>
  <c r="O26" i="14" s="1"/>
  <c r="O25" i="13"/>
  <c r="N27" i="12"/>
  <c r="O20" i="13"/>
  <c r="O7" i="13"/>
  <c r="O15" i="13"/>
  <c r="O26" i="2"/>
  <c r="O26" i="8"/>
  <c r="O26" i="11"/>
  <c r="O18" i="13"/>
  <c r="O22" i="13"/>
  <c r="D26" i="13"/>
  <c r="N5" i="16"/>
  <c r="J5" i="16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H23" i="13"/>
  <c r="H27" i="13" s="1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O11" i="13"/>
  <c r="G23" i="13"/>
  <c r="G27" i="13" s="1"/>
  <c r="O27" i="2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5" i="16"/>
  <c r="O16" i="17"/>
  <c r="O26" i="4"/>
  <c r="F23" i="13"/>
  <c r="F27" i="13" s="1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23" i="14" s="1"/>
  <c r="F27" i="14" s="1"/>
  <c r="F5" i="16"/>
  <c r="F23" i="16" s="1"/>
  <c r="F27" i="16" s="1"/>
  <c r="O5" i="13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O16" i="13"/>
  <c r="E15" i="14"/>
  <c r="E15" i="16"/>
  <c r="E14" i="14"/>
  <c r="E14" i="16"/>
  <c r="O14" i="13"/>
  <c r="E13" i="14"/>
  <c r="E13" i="16"/>
  <c r="E12" i="14"/>
  <c r="E12" i="16"/>
  <c r="O12" i="13"/>
  <c r="E11" i="14"/>
  <c r="E11" i="16"/>
  <c r="E10" i="14"/>
  <c r="E10" i="16"/>
  <c r="O9" i="13"/>
  <c r="E9" i="14"/>
  <c r="E9" i="16"/>
  <c r="E8" i="14"/>
  <c r="E8" i="16"/>
  <c r="E7" i="14"/>
  <c r="E7" i="16"/>
  <c r="E6" i="14"/>
  <c r="E6" i="16"/>
  <c r="E5" i="14"/>
  <c r="E5" i="16"/>
  <c r="O26" i="6"/>
  <c r="O27" i="11"/>
  <c r="D22" i="14"/>
  <c r="D22" i="16"/>
  <c r="D21" i="14"/>
  <c r="D21" i="16"/>
  <c r="D20" i="14"/>
  <c r="D20" i="16"/>
  <c r="D19" i="14"/>
  <c r="D19" i="16"/>
  <c r="D18" i="14"/>
  <c r="D18" i="16"/>
  <c r="D17" i="14"/>
  <c r="D17" i="16"/>
  <c r="D16" i="14"/>
  <c r="D16" i="16"/>
  <c r="D15" i="14"/>
  <c r="D15" i="16"/>
  <c r="D14" i="14"/>
  <c r="D14" i="16"/>
  <c r="D13" i="14"/>
  <c r="D13" i="16"/>
  <c r="D12" i="14"/>
  <c r="D12" i="16"/>
  <c r="D11" i="14"/>
  <c r="D11" i="16"/>
  <c r="D10" i="14"/>
  <c r="D10" i="16"/>
  <c r="D9" i="14"/>
  <c r="D9" i="16"/>
  <c r="D8" i="14"/>
  <c r="D8" i="16"/>
  <c r="D7" i="14"/>
  <c r="O7" i="14" s="1"/>
  <c r="D7" i="16"/>
  <c r="D23" i="13"/>
  <c r="D27" i="13" s="1"/>
  <c r="D6" i="14"/>
  <c r="D6" i="16"/>
  <c r="D5" i="14"/>
  <c r="D5" i="16"/>
  <c r="O20" i="17"/>
  <c r="O12" i="17"/>
  <c r="N2" i="7"/>
  <c r="N2" i="11"/>
  <c r="N2" i="10"/>
  <c r="N2" i="8"/>
  <c r="N2" i="9"/>
  <c r="O26" i="5"/>
  <c r="O21" i="13"/>
  <c r="O17" i="13"/>
  <c r="O10" i="13"/>
  <c r="O8" i="13"/>
  <c r="O6" i="13"/>
  <c r="O27" i="6"/>
  <c r="O26" i="9"/>
  <c r="K1" i="10"/>
  <c r="K1" i="12"/>
  <c r="O26" i="7"/>
  <c r="O22" i="17"/>
  <c r="O21" i="17"/>
  <c r="O19" i="17"/>
  <c r="O18" i="17"/>
  <c r="O17" i="17"/>
  <c r="O15" i="17"/>
  <c r="O14" i="17"/>
  <c r="O13" i="17"/>
  <c r="O9" i="17"/>
  <c r="O11" i="17"/>
  <c r="O10" i="17"/>
  <c r="O8" i="17"/>
  <c r="O7" i="17"/>
  <c r="N23" i="14"/>
  <c r="N27" i="14" s="1"/>
  <c r="J23" i="14"/>
  <c r="J27" i="14" s="1"/>
  <c r="M23" i="14"/>
  <c r="M27" i="14" s="1"/>
  <c r="I23" i="14"/>
  <c r="I27" i="14" s="1"/>
  <c r="L23" i="14"/>
  <c r="L27" i="14" s="1"/>
  <c r="H23" i="14"/>
  <c r="H27" i="14" s="1"/>
  <c r="K23" i="14"/>
  <c r="K27" i="14" s="1"/>
  <c r="G23" i="14"/>
  <c r="G27" i="14" s="1"/>
  <c r="C5" i="14"/>
  <c r="C23" i="14" s="1"/>
  <c r="C27" i="14" s="1"/>
  <c r="O24" i="17"/>
  <c r="O25" i="17"/>
  <c r="O6" i="17"/>
  <c r="O5" i="17"/>
  <c r="C26" i="13"/>
  <c r="O26" i="13" s="1"/>
  <c r="O24" i="13"/>
  <c r="C23" i="13"/>
  <c r="O27" i="9"/>
  <c r="O23" i="9"/>
  <c r="O23" i="11"/>
  <c r="P23" i="11" s="1"/>
  <c r="O27" i="8"/>
  <c r="O23" i="8"/>
  <c r="P26" i="8" s="1"/>
  <c r="O27" i="7"/>
  <c r="O23" i="7"/>
  <c r="O23" i="6"/>
  <c r="P23" i="6" s="1"/>
  <c r="O27" i="5"/>
  <c r="O27" i="4"/>
  <c r="O23" i="4"/>
  <c r="P12" i="3"/>
  <c r="P21" i="3"/>
  <c r="P19" i="3"/>
  <c r="P24" i="3"/>
  <c r="P23" i="3"/>
  <c r="O18" i="14" l="1"/>
  <c r="O13" i="14"/>
  <c r="O11" i="14"/>
  <c r="O9" i="14"/>
  <c r="P26" i="4"/>
  <c r="O10" i="14"/>
  <c r="O14" i="14"/>
  <c r="O15" i="14"/>
  <c r="O19" i="14"/>
  <c r="O20" i="14"/>
  <c r="O22" i="14"/>
  <c r="P26" i="12"/>
  <c r="O10" i="16"/>
  <c r="N23" i="16"/>
  <c r="N27" i="16" s="1"/>
  <c r="L23" i="16"/>
  <c r="L27" i="16" s="1"/>
  <c r="P14" i="3"/>
  <c r="P6" i="3"/>
  <c r="O6" i="14"/>
  <c r="J23" i="16"/>
  <c r="J27" i="16" s="1"/>
  <c r="C23" i="16"/>
  <c r="C27" i="16" s="1"/>
  <c r="K23" i="16"/>
  <c r="K27" i="16" s="1"/>
  <c r="O21" i="14"/>
  <c r="I23" i="16"/>
  <c r="I27" i="16" s="1"/>
  <c r="M23" i="16"/>
  <c r="M27" i="16" s="1"/>
  <c r="H23" i="16"/>
  <c r="H27" i="16" s="1"/>
  <c r="O15" i="16"/>
  <c r="O11" i="16"/>
  <c r="G23" i="16"/>
  <c r="G27" i="16" s="1"/>
  <c r="O17" i="14"/>
  <c r="O6" i="16"/>
  <c r="O16" i="14"/>
  <c r="O8" i="14"/>
  <c r="O21" i="16"/>
  <c r="O16" i="16"/>
  <c r="O14" i="16"/>
  <c r="O22" i="16"/>
  <c r="O20" i="16"/>
  <c r="O19" i="16"/>
  <c r="O18" i="16"/>
  <c r="O17" i="16"/>
  <c r="O13" i="16"/>
  <c r="O12" i="16"/>
  <c r="E23" i="16"/>
  <c r="E27" i="16" s="1"/>
  <c r="O7" i="16"/>
  <c r="E23" i="14"/>
  <c r="E27" i="14" s="1"/>
  <c r="O8" i="16"/>
  <c r="O9" i="16"/>
  <c r="O12" i="14"/>
  <c r="P26" i="5"/>
  <c r="D23" i="14"/>
  <c r="D27" i="14" s="1"/>
  <c r="D23" i="16"/>
  <c r="O5" i="16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O5" i="14"/>
  <c r="C27" i="13"/>
  <c r="O27" i="13" s="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5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7" l="1"/>
  <c r="D8" i="1" s="1"/>
  <c r="O27" i="14"/>
  <c r="D7" i="1" s="1"/>
  <c r="O23" i="14"/>
  <c r="P26" i="14" s="1"/>
  <c r="D27" i="16"/>
  <c r="O27" i="16" s="1"/>
  <c r="O23" i="16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7" i="13"/>
  <c r="D6" i="1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7" l="1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  <c r="O23" i="2"/>
  <c r="P23" i="2" s="1"/>
  <c r="P10" i="2" l="1"/>
  <c r="P24" i="2"/>
  <c r="P15" i="2"/>
  <c r="P5" i="2"/>
  <c r="P27" i="2"/>
  <c r="P21" i="2"/>
  <c r="P8" i="2"/>
  <c r="P19" i="2"/>
  <c r="P22" i="2"/>
  <c r="P13" i="2"/>
  <c r="P25" i="2"/>
  <c r="P18" i="2"/>
  <c r="P20" i="2"/>
  <c r="P26" i="2"/>
  <c r="P9" i="2"/>
  <c r="P14" i="2"/>
  <c r="P7" i="2"/>
  <c r="P11" i="2"/>
  <c r="P17" i="2"/>
  <c r="P12" i="2"/>
  <c r="P6" i="2"/>
  <c r="P16" i="2"/>
</calcChain>
</file>

<file path=xl/sharedStrings.xml><?xml version="1.0" encoding="utf-8"?>
<sst xmlns="http://schemas.openxmlformats.org/spreadsheetml/2006/main" count="734" uniqueCount="86">
  <si>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</si>
  <si>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</si>
  <si>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</si>
  <si>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</si>
  <si>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</si>
  <si>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</si>
  <si>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</si>
  <si>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</si>
  <si>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</si>
  <si>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</si>
  <si>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</si>
  <si>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</si>
  <si>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</si>
  <si>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</si>
  <si>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</si>
  <si>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</si>
  <si>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</si>
  <si>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</si>
  <si>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</si>
  <si>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</si>
  <si>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</si>
  <si>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</si>
  <si>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</si>
  <si>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</si>
  <si>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</si>
  <si>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</si>
  <si>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</si>
  <si>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</si>
  <si>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</si>
  <si>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</si>
  <si>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</si>
  <si>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</si>
  <si>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</si>
  <si>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</si>
  <si>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</si>
  <si>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</si>
  <si>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</si>
  <si>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</si>
  <si>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</si>
  <si>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</si>
  <si>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</si>
  <si>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</si>
  <si>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</si>
  <si>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</si>
  <si>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</si>
  <si>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</si>
  <si>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</si>
  <si>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</si>
  <si>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</si>
  <si>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</si>
  <si>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</si>
  <si>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</si>
  <si>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</si>
  <si>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</si>
  <si>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</si>
  <si>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</si>
  <si>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เรื้องรัง 25%  ของหน่วยงานต่างๆในCUPกุมภวาปี 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</si>
  <si>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</si>
  <si>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</si>
  <si>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</si>
  <si>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</si>
  <si>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</si>
  <si>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</si>
  <si>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</si>
  <si>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</si>
  <si>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</si>
  <si>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</si>
  <si>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</si>
  <si>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</si>
  <si>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</si>
  <si>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</si>
  <si>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</si>
  <si>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</si>
  <si>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</si>
  <si>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</si>
  <si>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</si>
  <si>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</si>
  <si>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</si>
  <si>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</si>
  <si>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</si>
  <si>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</si>
  <si>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>โรงพยาบาลห้วยเกิ้ง</t>
  </si>
  <si>
    <t xml:space="preserve"> ปีงบประมาณ   2562</t>
  </si>
  <si>
    <t>เหล่าสีเสียด(ตูมใต้)</t>
  </si>
  <si>
    <t>.</t>
  </si>
  <si>
    <t>รายงานข้อมูลณ วันที่ 27/5/62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</si>
</sst>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  <numFmt numFmtId="190" formatCode="#,##0.0"/>
    <numFmt numFmtId="191" formatCode="#,##0.0000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8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4" fontId="10" fillId="4" borderId="1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3" fillId="4" borderId="1" xfId="0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3" fillId="2" borderId="1" xfId="0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0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4" borderId="1" xfId="2" applyNumberFormat="1" applyFont="1" applyFill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center" vertical="center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190" fontId="13" fillId="4" borderId="1" xfId="0" applyNumberFormat="1" applyFont="1" applyFill="1" applyBorder="1" applyAlignment="1">
      <alignment horizontal="right" vertical="center" shrinkToFit="1"/>
    </xf>
    <xf numFmtId="191" fontId="17" fillId="5" borderId="1" xfId="0" applyNumberFormat="1" applyFont="1" applyFill="1" applyBorder="1" applyAlignment="1">
      <alignment horizontal="right" vertical="center" shrinkToFit="1"/>
    </xf>
    <xf numFmtId="190" fontId="17" fillId="5" borderId="1" xfId="0" applyNumberFormat="1" applyFont="1" applyFill="1" applyBorder="1" applyAlignment="1">
      <alignment horizontal="right" vertical="center" shrinkToFit="1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D6" sqref="D6"/>
    </sheetView>
  </sheetViews>
  <sheetFormatPr defaultRowHeight="36.75" customHeight="1" x14ac:dyDescent="0.2"/>
  <cols>
    <col min="1" max="1" width="3" style="226" customWidth="1"/>
    <col min="2" max="2" width="4.5" style="227" customWidth="1"/>
    <col min="3" max="3" width="55" style="161" customWidth="1"/>
    <col min="4" max="4" width="20.375" style="226" customWidth="1"/>
    <col min="5" max="27" width="3" style="226" customWidth="1"/>
    <col min="28" max="16384" width="9" style="226"/>
  </cols>
  <sheetData>
    <row r="1" spans="2:5" s="230" customFormat="1" ht="27" customHeight="1" x14ac:dyDescent="0.2">
      <c r="B1" s="228"/>
      <c r="C1" s="229" t="s">
        <v>47</v>
      </c>
    </row>
    <row r="2" spans="2:5" s="230" customFormat="1" ht="27" customHeight="1" x14ac:dyDescent="0.2">
      <c r="B2" s="228"/>
      <c r="C2" s="231" t="s">
        <v>77</v>
      </c>
    </row>
    <row r="3" spans="2:5" s="230" customFormat="1" ht="27" customHeight="1" x14ac:dyDescent="0.2">
      <c r="B3" s="228"/>
      <c r="C3" s="232" t="s">
        <v>82</v>
      </c>
      <c r="E3" s="233"/>
    </row>
    <row r="4" spans="2:5" s="230" customFormat="1" ht="22.5" customHeight="1" x14ac:dyDescent="0.2">
      <c r="B4" s="228"/>
      <c r="C4" s="234"/>
      <c r="D4" s="235" t="s">
        <v>85</v>
      </c>
      <c r="E4" s="233"/>
    </row>
    <row r="5" spans="2:5" ht="36.75" customHeight="1" x14ac:dyDescent="0.2">
      <c r="B5" s="236" t="s">
        <v>0</v>
      </c>
      <c r="C5" s="236" t="s">
        <v>46</v>
      </c>
      <c r="D5" s="237">
        <v>241939</v>
      </c>
      <c r="E5" s="227"/>
    </row>
    <row r="6" spans="2:5" ht="30" customHeight="1" x14ac:dyDescent="0.2">
      <c r="B6" s="238">
        <v>1</v>
      </c>
      <c r="C6" s="239" t="s">
        <v>74</v>
      </c>
      <c r="D6" s="240">
        <f>'1.1รวมยาทั้งหมด(1+2+3+4)'!O27</f>
        <v>3385880.0700000003</v>
      </c>
    </row>
    <row r="7" spans="2:5" ht="30" customHeight="1" x14ac:dyDescent="0.2">
      <c r="B7" s="238">
        <v>2</v>
      </c>
      <c r="C7" s="239" t="s">
        <v>75</v>
      </c>
      <c r="D7" s="240">
        <f>'1.2 ยาทั้งหมดรวมvaccin'!O27</f>
        <v>4275140.92</v>
      </c>
    </row>
    <row r="8" spans="2:5" ht="60.75" customHeight="1" x14ac:dyDescent="0.2">
      <c r="B8" s="238">
        <v>3</v>
      </c>
      <c r="C8" s="241" t="s">
        <v>79</v>
      </c>
      <c r="D8" s="240">
        <f>'2.รวมวชย ทุกประเภท'!O27</f>
        <v>0</v>
      </c>
    </row>
    <row r="9" spans="2:5" ht="36.75" customHeight="1" x14ac:dyDescent="0.2">
      <c r="B9" s="236">
        <v>4</v>
      </c>
      <c r="C9" s="244" t="s">
        <v>78</v>
      </c>
      <c r="D9" s="242">
        <f>D7+D8</f>
        <v>4275140.92</v>
      </c>
    </row>
    <row r="10" spans="2:5" ht="12" customHeight="1" x14ac:dyDescent="0.2"/>
    <row r="11" spans="2:5" ht="23.25" customHeight="1" x14ac:dyDescent="0.2">
      <c r="B11" s="243" t="s">
        <v>76</v>
      </c>
      <c r="C11" s="226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workbookViewId="0">
      <selection activeCell="C5" sqref="C5:N28"/>
    </sheetView>
  </sheetViews>
  <sheetFormatPr defaultColWidth="12.875" defaultRowHeight="17.25" customHeight="1" x14ac:dyDescent="0.2"/>
  <cols>
    <col min="1" max="1" width="4.75" style="261" customWidth="1"/>
    <col min="2" max="2" width="15.25" style="262" customWidth="1"/>
    <col min="3" max="14" width="8.375" style="125" customWidth="1"/>
    <col min="15" max="15" width="10" style="284" customWidth="1"/>
    <col min="16" max="16" width="9.625" style="288" customWidth="1"/>
    <col min="17" max="16384" width="12.875" style="125"/>
  </cols>
  <sheetData>
    <row r="1" spans="1:17" s="104" customFormat="1" ht="17.25" customHeight="1" x14ac:dyDescent="0.2">
      <c r="A1" s="255"/>
      <c r="B1" s="259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2562</v>
      </c>
      <c r="L1" s="102"/>
      <c r="M1" s="102"/>
      <c r="N1" s="102"/>
      <c r="O1" s="141"/>
      <c r="P1" s="287"/>
      <c r="Q1" s="248"/>
    </row>
    <row r="2" spans="1:17" s="104" customFormat="1" ht="17.25" customHeight="1" x14ac:dyDescent="0.2">
      <c r="A2" s="255"/>
      <c r="B2" s="259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>รายงานข้อมูลณ วันที่ 27/5/62</v>
      </c>
      <c r="O2" s="141"/>
      <c r="P2" s="287"/>
      <c r="Q2" s="248"/>
    </row>
    <row r="3" spans="1:17" ht="6.75" customHeight="1" x14ac:dyDescent="0.2"/>
    <row r="4" spans="1:17" ht="17.25" customHeight="1" x14ac:dyDescent="0.2">
      <c r="A4" s="256" t="s">
        <v>0</v>
      </c>
      <c r="B4" s="249" t="s">
        <v>1</v>
      </c>
      <c r="C4" s="253" t="s">
        <v>27</v>
      </c>
      <c r="D4" s="253" t="s">
        <v>28</v>
      </c>
      <c r="E4" s="253" t="s">
        <v>29</v>
      </c>
      <c r="F4" s="253" t="s">
        <v>30</v>
      </c>
      <c r="G4" s="253" t="s">
        <v>31</v>
      </c>
      <c r="H4" s="253" t="s">
        <v>32</v>
      </c>
      <c r="I4" s="253" t="s">
        <v>33</v>
      </c>
      <c r="J4" s="253" t="s">
        <v>34</v>
      </c>
      <c r="K4" s="253" t="s">
        <v>35</v>
      </c>
      <c r="L4" s="253" t="s">
        <v>36</v>
      </c>
      <c r="M4" s="253" t="s">
        <v>37</v>
      </c>
      <c r="N4" s="253" t="s">
        <v>38</v>
      </c>
      <c r="O4" s="285" t="s">
        <v>39</v>
      </c>
      <c r="P4" s="289" t="s">
        <v>40</v>
      </c>
    </row>
    <row r="5" spans="1:17" ht="17.25" customHeight="1" x14ac:dyDescent="0.2">
      <c r="A5" s="256">
        <v>1</v>
      </c>
      <c r="B5" s="249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8">
        <f>SUM(C5:N5)</f>
        <v>0</v>
      </c>
      <c r="P5" s="290" t="e">
        <f t="shared" ref="P5:P27" si="0">O5/$O$23</f>
        <v>#DIV/0!</v>
      </c>
    </row>
    <row r="6" spans="1:17" ht="17.25" customHeight="1" x14ac:dyDescent="0.2">
      <c r="A6" s="256">
        <v>2</v>
      </c>
      <c r="B6" s="249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8">
        <f t="shared" ref="O6:O27" si="1">SUM(C6:N6)</f>
        <v>0</v>
      </c>
      <c r="P6" s="290" t="e">
        <f t="shared" si="0"/>
        <v>#DIV/0!</v>
      </c>
    </row>
    <row r="7" spans="1:17" ht="17.25" customHeight="1" x14ac:dyDescent="0.2">
      <c r="A7" s="256">
        <v>3</v>
      </c>
      <c r="B7" s="249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8">
        <f t="shared" si="1"/>
        <v>0</v>
      </c>
      <c r="P7" s="290" t="e">
        <f t="shared" si="0"/>
        <v>#DIV/0!</v>
      </c>
    </row>
    <row r="8" spans="1:17" ht="17.25" customHeight="1" x14ac:dyDescent="0.2">
      <c r="A8" s="256">
        <v>4</v>
      </c>
      <c r="B8" s="249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68">
        <f t="shared" si="1"/>
        <v>0</v>
      </c>
      <c r="P8" s="290" t="e">
        <f t="shared" si="0"/>
        <v>#DIV/0!</v>
      </c>
    </row>
    <row r="9" spans="1:17" ht="17.25" customHeight="1" x14ac:dyDescent="0.2">
      <c r="A9" s="256">
        <v>5</v>
      </c>
      <c r="B9" s="249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8">
        <f t="shared" si="1"/>
        <v>0</v>
      </c>
      <c r="P9" s="290" t="e">
        <f t="shared" si="0"/>
        <v>#DIV/0!</v>
      </c>
    </row>
    <row r="10" spans="1:17" ht="17.25" customHeight="1" x14ac:dyDescent="0.2">
      <c r="A10" s="256">
        <v>6</v>
      </c>
      <c r="B10" s="249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68">
        <f t="shared" si="1"/>
        <v>0</v>
      </c>
      <c r="P10" s="290" t="e">
        <f t="shared" si="0"/>
        <v>#DIV/0!</v>
      </c>
    </row>
    <row r="11" spans="1:17" ht="17.25" customHeight="1" x14ac:dyDescent="0.2">
      <c r="A11" s="256">
        <v>7</v>
      </c>
      <c r="B11" s="249" t="s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68">
        <f t="shared" si="1"/>
        <v>0</v>
      </c>
      <c r="P11" s="290" t="e">
        <f t="shared" si="0"/>
        <v>#DIV/0!</v>
      </c>
    </row>
    <row r="12" spans="1:17" ht="17.25" customHeight="1" x14ac:dyDescent="0.2">
      <c r="A12" s="256">
        <v>8</v>
      </c>
      <c r="B12" s="249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68">
        <f t="shared" si="1"/>
        <v>0</v>
      </c>
      <c r="P12" s="290" t="e">
        <f t="shared" si="0"/>
        <v>#DIV/0!</v>
      </c>
    </row>
    <row r="13" spans="1:17" ht="17.25" customHeight="1" x14ac:dyDescent="0.2">
      <c r="A13" s="256">
        <v>9</v>
      </c>
      <c r="B13" s="249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68">
        <f t="shared" si="1"/>
        <v>0</v>
      </c>
      <c r="P13" s="290" t="e">
        <f t="shared" si="0"/>
        <v>#DIV/0!</v>
      </c>
    </row>
    <row r="14" spans="1:17" ht="17.25" customHeight="1" x14ac:dyDescent="0.2">
      <c r="A14" s="256">
        <v>10</v>
      </c>
      <c r="B14" s="249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8">
        <f t="shared" si="1"/>
        <v>0</v>
      </c>
      <c r="P14" s="290" t="e">
        <f t="shared" si="0"/>
        <v>#DIV/0!</v>
      </c>
    </row>
    <row r="15" spans="1:17" ht="17.25" customHeight="1" x14ac:dyDescent="0.2">
      <c r="A15" s="256">
        <v>11</v>
      </c>
      <c r="B15" s="249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68">
        <f t="shared" si="1"/>
        <v>0</v>
      </c>
      <c r="P15" s="290" t="e">
        <f t="shared" si="0"/>
        <v>#DIV/0!</v>
      </c>
    </row>
    <row r="16" spans="1:17" ht="17.25" customHeight="1" x14ac:dyDescent="0.2">
      <c r="A16" s="256">
        <v>12</v>
      </c>
      <c r="B16" s="249" t="s">
        <v>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68">
        <f t="shared" si="1"/>
        <v>0</v>
      </c>
      <c r="P16" s="290" t="e">
        <f t="shared" si="0"/>
        <v>#DIV/0!</v>
      </c>
    </row>
    <row r="17" spans="1:16" ht="17.25" customHeight="1" x14ac:dyDescent="0.2">
      <c r="A17" s="256">
        <v>13</v>
      </c>
      <c r="B17" s="249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68">
        <f t="shared" si="1"/>
        <v>0</v>
      </c>
      <c r="P17" s="290" t="e">
        <f t="shared" si="0"/>
        <v>#DIV/0!</v>
      </c>
    </row>
    <row r="18" spans="1:16" ht="17.25" customHeight="1" x14ac:dyDescent="0.2">
      <c r="A18" s="256">
        <v>14</v>
      </c>
      <c r="B18" s="249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8">
        <f t="shared" si="1"/>
        <v>0</v>
      </c>
      <c r="P18" s="290" t="e">
        <f t="shared" si="0"/>
        <v>#DIV/0!</v>
      </c>
    </row>
    <row r="19" spans="1:16" ht="17.25" customHeight="1" x14ac:dyDescent="0.2">
      <c r="A19" s="256">
        <v>15</v>
      </c>
      <c r="B19" s="249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68">
        <f t="shared" si="1"/>
        <v>0</v>
      </c>
      <c r="P19" s="290" t="e">
        <f t="shared" si="0"/>
        <v>#DIV/0!</v>
      </c>
    </row>
    <row r="20" spans="1:16" ht="17.25" customHeight="1" x14ac:dyDescent="0.2">
      <c r="A20" s="256">
        <v>16</v>
      </c>
      <c r="B20" s="249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68">
        <f t="shared" si="1"/>
        <v>0</v>
      </c>
      <c r="P20" s="290" t="e">
        <f t="shared" si="0"/>
        <v>#DIV/0!</v>
      </c>
    </row>
    <row r="21" spans="1:16" ht="17.25" customHeight="1" x14ac:dyDescent="0.2">
      <c r="A21" s="256">
        <v>17</v>
      </c>
      <c r="B21" s="249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68">
        <f t="shared" si="1"/>
        <v>0</v>
      </c>
      <c r="P21" s="290" t="e">
        <f t="shared" si="0"/>
        <v>#DIV/0!</v>
      </c>
    </row>
    <row r="22" spans="1:16" ht="17.25" customHeight="1" x14ac:dyDescent="0.2">
      <c r="A22" s="256">
        <v>18</v>
      </c>
      <c r="B22" s="249" t="s">
        <v>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8">
        <f t="shared" si="1"/>
        <v>0</v>
      </c>
      <c r="P22" s="290" t="e">
        <f t="shared" si="0"/>
        <v>#DIV/0!</v>
      </c>
    </row>
    <row r="23" spans="1:16" s="265" customFormat="1" ht="17.25" customHeight="1" x14ac:dyDescent="0.2">
      <c r="A23" s="266" t="s">
        <v>68</v>
      </c>
      <c r="B23" s="267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86">
        <f t="shared" si="1"/>
        <v>0</v>
      </c>
      <c r="P23" s="291" t="e">
        <f t="shared" si="0"/>
        <v>#DIV/0!</v>
      </c>
    </row>
    <row r="24" spans="1:16" ht="17.25" customHeight="1" x14ac:dyDescent="0.2">
      <c r="A24" s="257">
        <v>19</v>
      </c>
      <c r="B24" s="250" t="s">
        <v>16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8">
        <f t="shared" si="1"/>
        <v>0</v>
      </c>
      <c r="P24" s="290" t="e">
        <f t="shared" si="0"/>
        <v>#DIV/0!</v>
      </c>
    </row>
    <row r="25" spans="1:16" ht="17.25" customHeight="1" x14ac:dyDescent="0.2">
      <c r="A25" s="257">
        <v>20</v>
      </c>
      <c r="B25" s="250" t="s">
        <v>17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8">
        <f t="shared" si="1"/>
        <v>0</v>
      </c>
      <c r="P25" s="290" t="e">
        <f t="shared" si="0"/>
        <v>#DIV/0!</v>
      </c>
    </row>
    <row r="26" spans="1:16" s="265" customFormat="1" ht="17.25" customHeight="1" x14ac:dyDescent="0.2">
      <c r="A26" s="272" t="s">
        <v>54</v>
      </c>
      <c r="B26" s="273" t="s">
        <v>23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74">
        <f t="shared" si="1"/>
        <v>0</v>
      </c>
      <c r="P26" s="292" t="e">
        <f t="shared" si="0"/>
        <v>#DIV/0!</v>
      </c>
    </row>
    <row r="27" spans="1:16" s="269" customFormat="1" ht="17.25" customHeight="1" x14ac:dyDescent="0.2">
      <c r="A27" s="277" t="s">
        <v>69</v>
      </c>
      <c r="B27" s="278" t="s">
        <v>25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80">
        <f t="shared" si="1"/>
        <v>0</v>
      </c>
      <c r="P27" s="293" t="e">
        <f t="shared" si="0"/>
        <v>#DIV/0!</v>
      </c>
    </row>
    <row r="28" spans="1:16" s="115" customFormat="1" ht="18" customHeight="1" x14ac:dyDescent="0.45">
      <c r="A28" s="258"/>
      <c r="B28" s="260"/>
      <c r="O28" s="314"/>
      <c r="P28" s="360"/>
    </row>
    <row r="29" spans="1:16" s="115" customFormat="1" ht="18" customHeight="1" x14ac:dyDescent="0.45">
      <c r="A29" s="258"/>
      <c r="B29" s="260"/>
      <c r="L29" s="366" t="s">
        <v>49</v>
      </c>
      <c r="M29" s="366"/>
      <c r="N29" s="366"/>
      <c r="O29" s="314"/>
      <c r="P29" s="360"/>
    </row>
    <row r="30" spans="1:16" s="115" customFormat="1" ht="18" customHeight="1" x14ac:dyDescent="0.45">
      <c r="A30" s="258"/>
      <c r="B30" s="260"/>
      <c r="G30" s="366" t="s">
        <v>80</v>
      </c>
      <c r="H30" s="366"/>
      <c r="I30" s="366"/>
      <c r="J30" s="121"/>
      <c r="K30" s="121"/>
      <c r="L30" s="366"/>
      <c r="M30" s="366"/>
      <c r="N30" s="366"/>
      <c r="O30" s="314"/>
      <c r="P30" s="360"/>
    </row>
    <row r="31" spans="1:16" s="115" customFormat="1" ht="18" customHeight="1" x14ac:dyDescent="0.45">
      <c r="A31" s="258"/>
      <c r="B31" s="260"/>
      <c r="G31" s="121"/>
      <c r="H31" s="121" t="s">
        <v>50</v>
      </c>
      <c r="I31" s="121"/>
      <c r="J31" s="121"/>
      <c r="K31" s="121"/>
      <c r="L31" s="122"/>
      <c r="M31" s="121" t="s">
        <v>51</v>
      </c>
      <c r="N31" s="123"/>
      <c r="O31" s="314"/>
      <c r="P31" s="360"/>
    </row>
    <row r="32" spans="1:16" s="115" customFormat="1" ht="18" customHeight="1" x14ac:dyDescent="0.45">
      <c r="A32" s="258"/>
      <c r="B32" s="260"/>
      <c r="G32" s="121"/>
      <c r="H32" s="122" t="s">
        <v>52</v>
      </c>
      <c r="I32" s="122"/>
      <c r="J32" s="122"/>
      <c r="K32" s="121"/>
      <c r="L32" s="122"/>
      <c r="M32" s="121" t="s">
        <v>53</v>
      </c>
      <c r="N32" s="123"/>
      <c r="O32" s="314"/>
      <c r="P32" s="360"/>
    </row>
    <row r="33" spans="1:16" s="115" customFormat="1" ht="18" customHeight="1" x14ac:dyDescent="0.45">
      <c r="A33" s="258"/>
      <c r="B33" s="260"/>
      <c r="G33" s="122"/>
      <c r="H33" s="122"/>
      <c r="I33" s="122"/>
      <c r="J33" s="122"/>
      <c r="K33" s="121"/>
      <c r="L33" s="122"/>
      <c r="M33" s="122"/>
      <c r="N33" s="124"/>
      <c r="O33" s="314"/>
      <c r="P33" s="360"/>
    </row>
    <row r="34" spans="1:16" s="115" customFormat="1" ht="18" customHeight="1" x14ac:dyDescent="0.45">
      <c r="A34" s="258"/>
      <c r="B34" s="260"/>
      <c r="O34" s="314"/>
      <c r="P34" s="360"/>
    </row>
    <row r="35" spans="1:16" s="115" customFormat="1" ht="18" customHeight="1" x14ac:dyDescent="0.45">
      <c r="A35" s="258"/>
      <c r="B35" s="260"/>
      <c r="O35" s="314"/>
      <c r="P35" s="36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12" zoomScale="112" zoomScaleNormal="112" workbookViewId="0">
      <selection activeCell="J28" sqref="J28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57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27/5/62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f>6075.3+450+450+796.8</f>
        <v>7772.1</v>
      </c>
      <c r="D5" s="36">
        <f>9812.02-126-550-1650-209.92-525+256.8+1739.4+1294.7+481.5+1583.6+817.26</f>
        <v>12924.360000000002</v>
      </c>
      <c r="E5" s="36">
        <f>8076.36-158.36+1996</f>
        <v>9914</v>
      </c>
      <c r="F5" s="36">
        <f>11524.35-3900-1080+1391+1391</f>
        <v>9326.35</v>
      </c>
      <c r="G5" s="36">
        <f>10354.78-432-440-314.88+996</f>
        <v>10163.900000000001</v>
      </c>
      <c r="H5" s="36">
        <f>7458.02-440-63</f>
        <v>6955.02</v>
      </c>
      <c r="I5" s="36">
        <f>16025.64+525-238-210.2-1100-3120</f>
        <v>11882.439999999999</v>
      </c>
      <c r="J5" s="36">
        <f>11339.15-2520-550-440-220+3873.4+996+119+138.03</f>
        <v>12735.58</v>
      </c>
      <c r="K5" s="36"/>
      <c r="L5" s="36"/>
      <c r="M5" s="36"/>
      <c r="N5" s="36"/>
      <c r="O5" s="299">
        <f>SUM(C5:N5)</f>
        <v>81673.750000000015</v>
      </c>
      <c r="P5" s="290">
        <f t="shared" ref="P5:P27" si="0">O5/$O$23</f>
        <v>0.1576413769892708</v>
      </c>
    </row>
    <row r="6" spans="1:17" ht="17.25" customHeight="1" x14ac:dyDescent="0.2">
      <c r="A6" s="25">
        <v>2</v>
      </c>
      <c r="B6" s="26" t="s">
        <v>19</v>
      </c>
      <c r="C6" s="36">
        <v>1717.35</v>
      </c>
      <c r="D6" s="36">
        <f>4983.76-525-780+450</f>
        <v>4128.76</v>
      </c>
      <c r="E6" s="36">
        <f>5200.7+1241</f>
        <v>6441.7</v>
      </c>
      <c r="F6" s="36">
        <v>7336.14</v>
      </c>
      <c r="G6" s="36">
        <v>3744.7</v>
      </c>
      <c r="H6" s="36">
        <v>6771.65</v>
      </c>
      <c r="I6" s="36">
        <f>6281.2-210.2+1241.2</f>
        <v>7312.2</v>
      </c>
      <c r="J6" s="36">
        <f>960+5643.25+3500+500</f>
        <v>10603.25</v>
      </c>
      <c r="K6" s="36"/>
      <c r="L6" s="36"/>
      <c r="M6" s="36"/>
      <c r="N6" s="36"/>
      <c r="O6" s="299">
        <f t="shared" ref="O6:O27" si="1">SUM(C6:N6)</f>
        <v>48055.75</v>
      </c>
      <c r="P6" s="290">
        <f t="shared" si="0"/>
        <v>9.2754092988899722E-2</v>
      </c>
    </row>
    <row r="7" spans="1:17" ht="17.25" customHeight="1" x14ac:dyDescent="0.2">
      <c r="A7" s="25">
        <v>3</v>
      </c>
      <c r="B7" s="26" t="s">
        <v>20</v>
      </c>
      <c r="C7" s="36">
        <f>350+1000</f>
        <v>1350</v>
      </c>
      <c r="D7" s="36">
        <f>310+1241.2+340.26+1712+96.3+791.8</f>
        <v>4491.5600000000004</v>
      </c>
      <c r="E7" s="36">
        <f>1570+1319.4</f>
        <v>2889.4</v>
      </c>
      <c r="F7" s="36">
        <f>3242.6105+695+492.2</f>
        <v>4429.8104999999996</v>
      </c>
      <c r="G7" s="36">
        <f>1144.9+6899.76-79.18-550-135</f>
        <v>7280.48</v>
      </c>
      <c r="H7" s="36">
        <f>3338.45+1712+1000</f>
        <v>6050.45</v>
      </c>
      <c r="I7" s="36">
        <v>0</v>
      </c>
      <c r="J7" s="36">
        <f>4849.9-2520+350+695</f>
        <v>3374.8999999999996</v>
      </c>
      <c r="K7" s="36"/>
      <c r="L7" s="36"/>
      <c r="M7" s="36"/>
      <c r="N7" s="36"/>
      <c r="O7" s="299">
        <f t="shared" si="1"/>
        <v>29866.6005</v>
      </c>
      <c r="P7" s="290">
        <f t="shared" si="0"/>
        <v>5.7646575904846328E-2</v>
      </c>
    </row>
    <row r="8" spans="1:17" ht="17.25" customHeight="1" x14ac:dyDescent="0.2">
      <c r="A8" s="25">
        <v>4</v>
      </c>
      <c r="B8" s="26" t="s">
        <v>21</v>
      </c>
      <c r="C8" s="36">
        <f>240.75+170+100</f>
        <v>510.75</v>
      </c>
      <c r="D8" s="36">
        <f>5881.43-25.2-575-2160-110+17372.9-12600</f>
        <v>7784.130000000001</v>
      </c>
      <c r="E8" s="36">
        <f>480+2461+395+347.75</f>
        <v>3683.75</v>
      </c>
      <c r="F8" s="36">
        <f>868.67+160.6</f>
        <v>1029.27</v>
      </c>
      <c r="G8" s="36">
        <f>179+74.9+1498+1027+330+240.75</f>
        <v>3349.65</v>
      </c>
      <c r="H8" s="36">
        <f>5303.57-1560-550</f>
        <v>3193.5699999999997</v>
      </c>
      <c r="I8" s="36">
        <v>4421.22</v>
      </c>
      <c r="J8" s="36">
        <f>654.98+190+270</f>
        <v>1114.98</v>
      </c>
      <c r="K8" s="36"/>
      <c r="L8" s="36"/>
      <c r="M8" s="36"/>
      <c r="N8" s="36"/>
      <c r="O8" s="299">
        <f t="shared" si="1"/>
        <v>25087.320000000003</v>
      </c>
      <c r="P8" s="290">
        <f t="shared" si="0"/>
        <v>4.8421918545070754E-2</v>
      </c>
    </row>
    <row r="9" spans="1:17" ht="17.25" customHeight="1" x14ac:dyDescent="0.2">
      <c r="A9" s="25">
        <v>5</v>
      </c>
      <c r="B9" s="26" t="s">
        <v>2</v>
      </c>
      <c r="C9" s="36">
        <f>1921.4+9098.15-5040</f>
        <v>5979.5499999999993</v>
      </c>
      <c r="D9" s="36">
        <f>1717.66-158.36+791.8</f>
        <v>2351.1000000000004</v>
      </c>
      <c r="E9" s="36">
        <f>8334.7-2520+321+370</f>
        <v>6505.7000000000007</v>
      </c>
      <c r="F9" s="36">
        <f>2506.4+2435.7+856-395+695+347.75</f>
        <v>6445.85</v>
      </c>
      <c r="G9" s="36">
        <f>3822.28-314.88+35+35+70+44+48.15+48.15</f>
        <v>3787.7000000000003</v>
      </c>
      <c r="H9" s="36">
        <v>2048</v>
      </c>
      <c r="I9" s="36">
        <v>0</v>
      </c>
      <c r="J9" s="36">
        <v>5368.8</v>
      </c>
      <c r="K9" s="36"/>
      <c r="L9" s="36"/>
      <c r="M9" s="36"/>
      <c r="N9" s="36"/>
      <c r="O9" s="299">
        <f t="shared" si="1"/>
        <v>32486.7</v>
      </c>
      <c r="P9" s="290">
        <f t="shared" si="0"/>
        <v>6.2703722087419062E-2</v>
      </c>
    </row>
    <row r="10" spans="1:17" ht="17.25" customHeight="1" x14ac:dyDescent="0.2">
      <c r="A10" s="25">
        <v>6</v>
      </c>
      <c r="B10" s="26" t="s">
        <v>3</v>
      </c>
      <c r="C10" s="36">
        <f>5573.6-1320-160</f>
        <v>4093.6000000000004</v>
      </c>
      <c r="D10" s="36">
        <f>1841.52+377.5</f>
        <v>2219.02</v>
      </c>
      <c r="E10" s="36">
        <f>5781.91+321+321+46.1</f>
        <v>6470.01</v>
      </c>
      <c r="F10" s="36">
        <v>2677.75</v>
      </c>
      <c r="G10" s="36">
        <f>1940.2+240.75+230.05+230.05</f>
        <v>2641.05</v>
      </c>
      <c r="H10" s="36">
        <f>2006.55-118.5</f>
        <v>1888.05</v>
      </c>
      <c r="I10" s="36">
        <v>4138.66</v>
      </c>
      <c r="J10" s="36">
        <v>0</v>
      </c>
      <c r="K10" s="36"/>
      <c r="L10" s="36"/>
      <c r="M10" s="36"/>
      <c r="N10" s="36"/>
      <c r="O10" s="299">
        <f t="shared" si="1"/>
        <v>24128.14</v>
      </c>
      <c r="P10" s="290">
        <f t="shared" si="0"/>
        <v>4.6570571496838374E-2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f>620+176.55+1852.25-175+1298.28</f>
        <v>3772.08</v>
      </c>
      <c r="E11" s="36">
        <v>863.13</v>
      </c>
      <c r="F11" s="36">
        <f>879.6+695</f>
        <v>1574.6</v>
      </c>
      <c r="G11" s="36">
        <f>3739.8+856-2520+1400</f>
        <v>3475.8</v>
      </c>
      <c r="H11" s="36">
        <v>2006.55</v>
      </c>
      <c r="I11" s="36">
        <f>856+700+738.3+347.75</f>
        <v>2642.05</v>
      </c>
      <c r="J11" s="36">
        <f>5849.65-2520</f>
        <v>3329.6499999999996</v>
      </c>
      <c r="K11" s="36"/>
      <c r="L11" s="36"/>
      <c r="M11" s="36"/>
      <c r="N11" s="36"/>
      <c r="O11" s="299">
        <f t="shared" si="1"/>
        <v>17663.86</v>
      </c>
      <c r="P11" s="290">
        <f t="shared" si="0"/>
        <v>3.4093637347932478E-2</v>
      </c>
    </row>
    <row r="12" spans="1:17" ht="17.25" customHeight="1" x14ac:dyDescent="0.2">
      <c r="A12" s="25">
        <v>8</v>
      </c>
      <c r="B12" s="26" t="s">
        <v>5</v>
      </c>
      <c r="C12" s="36">
        <v>215</v>
      </c>
      <c r="D12" s="36">
        <f>6032.32-540-280-791.8-209.92-315-160</f>
        <v>3735.5999999999995</v>
      </c>
      <c r="E12" s="36">
        <f>2672.1+1117.08+175+41+96.3+96.3+96.3+1695.95</f>
        <v>5990.03</v>
      </c>
      <c r="F12" s="36">
        <f>900+3617-275-160</f>
        <v>4082</v>
      </c>
      <c r="G12" s="36">
        <v>0</v>
      </c>
      <c r="H12" s="36">
        <f>6667.3-1400</f>
        <v>5267.3</v>
      </c>
      <c r="I12" s="36">
        <v>0</v>
      </c>
      <c r="J12" s="36">
        <f>4858.4-210-336-1400</f>
        <v>2912.3999999999996</v>
      </c>
      <c r="K12" s="36"/>
      <c r="L12" s="36"/>
      <c r="M12" s="36"/>
      <c r="N12" s="36"/>
      <c r="O12" s="299">
        <f t="shared" si="1"/>
        <v>22202.33</v>
      </c>
      <c r="P12" s="290">
        <f t="shared" si="0"/>
        <v>4.28534978933892E-2</v>
      </c>
    </row>
    <row r="13" spans="1:17" ht="17.25" customHeight="1" x14ac:dyDescent="0.2">
      <c r="A13" s="25">
        <v>9</v>
      </c>
      <c r="B13" s="26" t="s">
        <v>6</v>
      </c>
      <c r="C13" s="36">
        <f>3771.42+545.7</f>
        <v>4317.12</v>
      </c>
      <c r="D13" s="36">
        <f>2717.2-333.84-200-560-295-158.36+705+292.02</f>
        <v>2167.0199999999995</v>
      </c>
      <c r="E13" s="36">
        <f>4973.81-210+125+642+183.33+184.04</f>
        <v>5898.18</v>
      </c>
      <c r="F13" s="36">
        <f>6729.8+700+150+500-5040-1050+3746.68-324-104.96-210</f>
        <v>5097.5199999999995</v>
      </c>
      <c r="G13" s="36">
        <f>3615.26+199.2+1230+22-1008+849.15</f>
        <v>4907.6099999999997</v>
      </c>
      <c r="H13" s="36">
        <f>5782.43+340+695.5-224-1050</f>
        <v>5543.93</v>
      </c>
      <c r="I13" s="36">
        <f>3909.2-1008</f>
        <v>2901.2</v>
      </c>
      <c r="J13" s="36">
        <f>4314.7-1764-35+1007</f>
        <v>3522.7</v>
      </c>
      <c r="K13" s="36"/>
      <c r="L13" s="36"/>
      <c r="M13" s="36"/>
      <c r="N13" s="36"/>
      <c r="O13" s="299">
        <f t="shared" si="1"/>
        <v>34355.279999999999</v>
      </c>
      <c r="P13" s="290">
        <f t="shared" si="0"/>
        <v>6.6310334055335457E-2</v>
      </c>
    </row>
    <row r="14" spans="1:17" ht="17.25" customHeight="1" x14ac:dyDescent="0.2">
      <c r="A14" s="25">
        <v>10</v>
      </c>
      <c r="B14" s="26" t="s">
        <v>7</v>
      </c>
      <c r="C14" s="36">
        <f>6589.6-5040+1365.22</f>
        <v>2914.8200000000006</v>
      </c>
      <c r="D14" s="36">
        <f>413.94+130+1435.94</f>
        <v>1979.88</v>
      </c>
      <c r="E14" s="36">
        <f>235.4+158.36+151+120+2490</f>
        <v>3154.76</v>
      </c>
      <c r="F14" s="36">
        <v>2524.6</v>
      </c>
      <c r="G14" s="36">
        <v>0</v>
      </c>
      <c r="H14" s="36">
        <f>2453.28+1068.5</f>
        <v>3521.78</v>
      </c>
      <c r="I14" s="36">
        <f>2240.73-350</f>
        <v>1890.73</v>
      </c>
      <c r="J14" s="36">
        <v>2790.9</v>
      </c>
      <c r="K14" s="36"/>
      <c r="L14" s="36"/>
      <c r="M14" s="36"/>
      <c r="N14" s="36"/>
      <c r="O14" s="299">
        <f t="shared" si="1"/>
        <v>18777.47</v>
      </c>
      <c r="P14" s="290">
        <f t="shared" si="0"/>
        <v>3.62430551698033E-2</v>
      </c>
    </row>
    <row r="15" spans="1:17" ht="17.25" customHeight="1" x14ac:dyDescent="0.2">
      <c r="A15" s="25">
        <v>11</v>
      </c>
      <c r="B15" s="26" t="s">
        <v>8</v>
      </c>
      <c r="C15" s="36">
        <f>2156.06+647.35+1000+1000+500</f>
        <v>5303.41</v>
      </c>
      <c r="D15" s="36">
        <f>791.8+200+1230+325</f>
        <v>2546.8000000000002</v>
      </c>
      <c r="E15" s="36">
        <v>1319.4</v>
      </c>
      <c r="F15" s="36">
        <f>2865.5-900+494.12+2876.02</f>
        <v>5335.6399999999994</v>
      </c>
      <c r="G15" s="36">
        <f>330+1712+1230</f>
        <v>3272</v>
      </c>
      <c r="H15" s="36">
        <f>675+2923.1-110-330</f>
        <v>3158.1</v>
      </c>
      <c r="I15" s="36">
        <f>4286-450-330-330</f>
        <v>3176</v>
      </c>
      <c r="J15" s="36">
        <f>1517.42-210</f>
        <v>1307.42</v>
      </c>
      <c r="K15" s="36"/>
      <c r="L15" s="36"/>
      <c r="M15" s="36"/>
      <c r="N15" s="36"/>
      <c r="O15" s="299">
        <f t="shared" si="1"/>
        <v>25418.769999999997</v>
      </c>
      <c r="P15" s="290">
        <f t="shared" si="0"/>
        <v>4.9061661845740713E-2</v>
      </c>
    </row>
    <row r="16" spans="1:17" ht="17.25" customHeight="1" x14ac:dyDescent="0.2">
      <c r="A16" s="25">
        <v>12</v>
      </c>
      <c r="B16" s="26" t="s">
        <v>9</v>
      </c>
      <c r="C16" s="36">
        <f>2692.54-750-112</f>
        <v>1830.54</v>
      </c>
      <c r="D16" s="36">
        <f>1700.13-112-330+140</f>
        <v>1398.13</v>
      </c>
      <c r="E16" s="36">
        <f>3929.35-108-350-395</f>
        <v>3076.35</v>
      </c>
      <c r="F16" s="36">
        <f>1169.81-79.18-104.96-105</f>
        <v>880.66999999999985</v>
      </c>
      <c r="G16" s="36">
        <f>2603.34-216-175+90+90+700</f>
        <v>3092.34</v>
      </c>
      <c r="H16" s="36">
        <v>1167.1500000000001</v>
      </c>
      <c r="I16" s="36">
        <f>2379.98-105.1-350</f>
        <v>1924.88</v>
      </c>
      <c r="J16" s="36">
        <f>2419-220-395+1722+525</f>
        <v>4051</v>
      </c>
      <c r="K16" s="36"/>
      <c r="L16" s="36"/>
      <c r="M16" s="36"/>
      <c r="N16" s="36"/>
      <c r="O16" s="299">
        <f t="shared" si="1"/>
        <v>17421.060000000001</v>
      </c>
      <c r="P16" s="290">
        <f t="shared" si="0"/>
        <v>3.3625000529701472E-2</v>
      </c>
    </row>
    <row r="17" spans="1:16" ht="17.25" customHeight="1" x14ac:dyDescent="0.2">
      <c r="A17" s="25">
        <v>13</v>
      </c>
      <c r="B17" s="26" t="s">
        <v>10</v>
      </c>
      <c r="C17" s="36">
        <v>1488.72</v>
      </c>
      <c r="D17" s="36">
        <v>92.02</v>
      </c>
      <c r="E17" s="36">
        <f>3698.38-104.96-105-100</f>
        <v>3388.42</v>
      </c>
      <c r="F17" s="36">
        <f>8131.33-79.18-1050-320</f>
        <v>6682.15</v>
      </c>
      <c r="G17" s="36">
        <v>0</v>
      </c>
      <c r="H17" s="36">
        <v>0</v>
      </c>
      <c r="I17" s="36">
        <f>6578.68-79.18-1050-105.1-135</f>
        <v>5209.3999999999996</v>
      </c>
      <c r="J17" s="36">
        <v>0</v>
      </c>
      <c r="K17" s="36"/>
      <c r="L17" s="36"/>
      <c r="M17" s="36"/>
      <c r="N17" s="36"/>
      <c r="O17" s="299">
        <f t="shared" si="1"/>
        <v>16860.71</v>
      </c>
      <c r="P17" s="290">
        <f t="shared" si="0"/>
        <v>3.2543449289603663E-2</v>
      </c>
    </row>
    <row r="18" spans="1:16" ht="17.25" customHeight="1" x14ac:dyDescent="0.2">
      <c r="A18" s="25">
        <v>14</v>
      </c>
      <c r="B18" s="26" t="s">
        <v>11</v>
      </c>
      <c r="C18" s="36">
        <f>2742.46+1230+230.05</f>
        <v>4202.51</v>
      </c>
      <c r="D18" s="36">
        <f>3463.08-450-756+402.32-104.96</f>
        <v>2554.44</v>
      </c>
      <c r="E18" s="36">
        <f>2400.84-1260</f>
        <v>1140.8400000000001</v>
      </c>
      <c r="F18" s="36">
        <f>5263.94-1008-79.18-350-104.96-210-320</f>
        <v>3191.7999999999993</v>
      </c>
      <c r="G18" s="36">
        <f>1600.87-350-55</f>
        <v>1195.8699999999999</v>
      </c>
      <c r="H18" s="36">
        <v>761.01</v>
      </c>
      <c r="I18" s="36">
        <f>160+108.72</f>
        <v>268.72000000000003</v>
      </c>
      <c r="J18" s="36">
        <f>1927.82-450+858.14</f>
        <v>2335.96</v>
      </c>
      <c r="K18" s="36"/>
      <c r="L18" s="36"/>
      <c r="M18" s="36"/>
      <c r="N18" s="36"/>
      <c r="O18" s="299">
        <f t="shared" si="1"/>
        <v>15651.149999999998</v>
      </c>
      <c r="P18" s="290">
        <f t="shared" si="0"/>
        <v>3.0208834998584302E-2</v>
      </c>
    </row>
    <row r="19" spans="1:16" ht="17.25" customHeight="1" x14ac:dyDescent="0.2">
      <c r="A19" s="25">
        <v>15</v>
      </c>
      <c r="B19" s="26" t="s">
        <v>12</v>
      </c>
      <c r="C19" s="36">
        <f>6150.6-550</f>
        <v>5600.6</v>
      </c>
      <c r="D19" s="36">
        <f>6634.82-540-550-79.18+1400</f>
        <v>6865.6399999999994</v>
      </c>
      <c r="E19" s="36">
        <f>16630.5-540-7560</f>
        <v>8530.5</v>
      </c>
      <c r="F19" s="36">
        <v>4034.4</v>
      </c>
      <c r="G19" s="36">
        <f>800+90+235.4+390</f>
        <v>1515.4</v>
      </c>
      <c r="H19" s="36">
        <f>5653.15-1350-400-135</f>
        <v>3768.1499999999996</v>
      </c>
      <c r="I19" s="36">
        <f>75+342.4+996</f>
        <v>1413.4</v>
      </c>
      <c r="J19" s="36">
        <f>6035.5-1350-350</f>
        <v>4335.5</v>
      </c>
      <c r="K19" s="36"/>
      <c r="L19" s="36"/>
      <c r="M19" s="36"/>
      <c r="N19" s="36"/>
      <c r="O19" s="299">
        <f t="shared" si="1"/>
        <v>36063.590000000004</v>
      </c>
      <c r="P19" s="290">
        <f t="shared" si="0"/>
        <v>6.9607603260245746E-2</v>
      </c>
    </row>
    <row r="20" spans="1:16" ht="17.25" customHeight="1" x14ac:dyDescent="0.2">
      <c r="A20" s="25">
        <v>16</v>
      </c>
      <c r="B20" s="128" t="s">
        <v>13</v>
      </c>
      <c r="C20" s="36">
        <f>180+481.5+1287.55</f>
        <v>1949.05</v>
      </c>
      <c r="D20" s="36">
        <v>925</v>
      </c>
      <c r="E20" s="36">
        <f>1541.52-550-450-104.96</f>
        <v>436.56</v>
      </c>
      <c r="F20" s="36">
        <f>3460.6-210+450+1000</f>
        <v>4700.6000000000004</v>
      </c>
      <c r="G20" s="36">
        <f>330+1186.32</f>
        <v>1516.32</v>
      </c>
      <c r="H20" s="36">
        <f>2662+22+22</f>
        <v>2706</v>
      </c>
      <c r="I20" s="36">
        <f>1300.5+2440</f>
        <v>3740.5</v>
      </c>
      <c r="J20" s="36">
        <v>2457.6</v>
      </c>
      <c r="K20" s="36"/>
      <c r="L20" s="36"/>
      <c r="M20" s="36"/>
      <c r="N20" s="36"/>
      <c r="O20" s="299">
        <f t="shared" si="1"/>
        <v>18431.63</v>
      </c>
      <c r="P20" s="290">
        <f t="shared" si="0"/>
        <v>3.5575537224098966E-2</v>
      </c>
    </row>
    <row r="21" spans="1:16" ht="17.25" customHeight="1" x14ac:dyDescent="0.2">
      <c r="A21" s="25">
        <v>17</v>
      </c>
      <c r="B21" s="26" t="s">
        <v>14</v>
      </c>
      <c r="C21" s="36">
        <f>1691.63+2076.98</f>
        <v>3768.61</v>
      </c>
      <c r="D21" s="36">
        <f>2961.6+696.41</f>
        <v>3658.0099999999998</v>
      </c>
      <c r="E21" s="36">
        <f>3330.89-210</f>
        <v>3120.89</v>
      </c>
      <c r="F21" s="36">
        <f>2496.9+450+1317.48+370+498+92.02+498+680</f>
        <v>6402.4000000000005</v>
      </c>
      <c r="G21" s="36">
        <f>4865.43+498</f>
        <v>5363.43</v>
      </c>
      <c r="H21" s="36">
        <f>1727+1893.05+107</f>
        <v>3727.05</v>
      </c>
      <c r="I21" s="36">
        <f>4085.7-105.1</f>
        <v>3980.6</v>
      </c>
      <c r="J21" s="36">
        <f>1841.5+1262.8-105+150</f>
        <v>3149.3</v>
      </c>
      <c r="K21" s="36"/>
      <c r="L21" s="36"/>
      <c r="M21" s="36"/>
      <c r="N21" s="36"/>
      <c r="O21" s="299">
        <f t="shared" si="1"/>
        <v>33170.29</v>
      </c>
      <c r="P21" s="290">
        <f t="shared" si="0"/>
        <v>6.402314318533725E-2</v>
      </c>
    </row>
    <row r="22" spans="1:16" ht="17.25" customHeight="1" x14ac:dyDescent="0.2">
      <c r="A22" s="25">
        <v>18</v>
      </c>
      <c r="B22" s="26" t="s">
        <v>15</v>
      </c>
      <c r="C22" s="36">
        <f>219+500</f>
        <v>719</v>
      </c>
      <c r="D22" s="36">
        <f>863.3+35.31</f>
        <v>898.6099999999999</v>
      </c>
      <c r="E22" s="36">
        <f>320+700+235.4+230.05+347.75+477.22</f>
        <v>2310.42</v>
      </c>
      <c r="F22" s="36">
        <v>512.75</v>
      </c>
      <c r="G22" s="36">
        <f>99+246.1</f>
        <v>345.1</v>
      </c>
      <c r="H22" s="36">
        <v>230.05</v>
      </c>
      <c r="I22" s="36">
        <f>3330.3+1007+1790-128-420</f>
        <v>5579.3</v>
      </c>
      <c r="J22" s="36">
        <f>135+30+246.1</f>
        <v>411.1</v>
      </c>
      <c r="K22" s="36"/>
      <c r="L22" s="36"/>
      <c r="M22" s="36"/>
      <c r="N22" s="36"/>
      <c r="O22" s="299">
        <f t="shared" si="1"/>
        <v>11006.33</v>
      </c>
      <c r="P22" s="290">
        <f t="shared" si="0"/>
        <v>2.124370457825581E-2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C5+C6+C7+C8+C9+C10+C11+C12+C13+C14+C15+C16+C17+C18+C19+C20+C21+C22</f>
        <v>53732.73</v>
      </c>
      <c r="D23" s="42">
        <f>D5+D6+D7+D8+D9+D10+D11+D12+D13+D14+D15+D16+D17+D18+D19+D20+D21+D22</f>
        <v>64492.159999999996</v>
      </c>
      <c r="E23" s="42">
        <f>E5+E6+E7+E8+E9+E9+E10+E11+E12+E13+E14+E15+E16+E17+E18+E19+E20+E21+E22</f>
        <v>81639.739999999991</v>
      </c>
      <c r="F23" s="42">
        <f>F5+F6+F7+F8+F9+F10+F11+F12+F13+F14+F15+F16+F17+F18+F19+F20+F21+F22</f>
        <v>76264.300499999983</v>
      </c>
      <c r="G23" s="42">
        <f>G5+G6+G7+G8+G9+G10+G11+G12+G13+G14+G15+G15+G16+G17+G18+G19+G20+G21+G22</f>
        <v>58923.350000000013</v>
      </c>
      <c r="H23" s="42">
        <f>H5+H6+H7+H8+H9+H10+H11+H12+H13+H14+H15+H16+H17+H18+H19+H20+H21+H22</f>
        <v>58763.810000000005</v>
      </c>
      <c r="I23" s="42">
        <f>I5+I6+I7+I8+I9+I10+I11+I12+I13+I14+I15+I16+I17+I18+I19+I20+I21+I22</f>
        <v>60481.3</v>
      </c>
      <c r="J23" s="42">
        <f>J22+J21+J20+J19+J18+J16+J15+J14+J13+J12+J11+J9+J8+J7+J6+J5</f>
        <v>63801.040000000008</v>
      </c>
      <c r="K23" s="42"/>
      <c r="L23" s="42"/>
      <c r="M23" s="42"/>
      <c r="N23" s="42"/>
      <c r="O23" s="54">
        <f t="shared" si="1"/>
        <v>518098.43050000002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f>13206.63+3595.27+240.75+170</f>
        <v>17212.649999999998</v>
      </c>
      <c r="D24" s="36">
        <f>3545.4+2310+791.8+3723.6-721.47</f>
        <v>9649.33</v>
      </c>
      <c r="E24" s="36">
        <f>21869.16-560-550+2319.2</f>
        <v>23078.36</v>
      </c>
      <c r="F24" s="36">
        <f>1600+650+1391+29489.18+126-330-330</f>
        <v>32596.18</v>
      </c>
      <c r="G24" s="36">
        <f>26564.53</f>
        <v>26564.53</v>
      </c>
      <c r="H24" s="36">
        <f>19285.8-550</f>
        <v>18735.8</v>
      </c>
      <c r="I24" s="36">
        <f>8263+3500+2256.73</f>
        <v>14019.73</v>
      </c>
      <c r="J24" s="36">
        <v>18529.330000000002</v>
      </c>
      <c r="K24" s="36"/>
      <c r="L24" s="36"/>
      <c r="M24" s="36"/>
      <c r="N24" s="36"/>
      <c r="O24" s="299">
        <f t="shared" si="1"/>
        <v>160385.90999999997</v>
      </c>
      <c r="P24" s="290">
        <f t="shared" si="0"/>
        <v>0.30956648497316758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99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54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C23+C24</f>
        <v>70945.38</v>
      </c>
      <c r="D27" s="282">
        <f>E23+E19</f>
        <v>90170.239999999991</v>
      </c>
      <c r="E27" s="282">
        <f>E23+E19</f>
        <v>90170.239999999991</v>
      </c>
      <c r="F27" s="362">
        <f>F24+F23</f>
        <v>108860.48049999998</v>
      </c>
      <c r="G27" s="282">
        <f>G24+G23</f>
        <v>85487.88</v>
      </c>
      <c r="H27" s="282">
        <f>H24+H23</f>
        <v>77499.61</v>
      </c>
      <c r="I27" s="282">
        <f>I24+I23</f>
        <v>74501.03</v>
      </c>
      <c r="J27" s="282">
        <f>J24+J23</f>
        <v>82330.37000000001</v>
      </c>
      <c r="K27" s="282"/>
      <c r="L27" s="282"/>
      <c r="M27" s="282"/>
      <c r="N27" s="282"/>
      <c r="O27" s="283">
        <f t="shared" si="1"/>
        <v>679965.23049999995</v>
      </c>
      <c r="P27" s="293">
        <f t="shared" si="0"/>
        <v>1.3124248028386951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7" t="s">
        <v>49</v>
      </c>
      <c r="M29" s="367"/>
      <c r="N29" s="367"/>
      <c r="O29" s="167"/>
      <c r="P29" s="300"/>
    </row>
    <row r="30" spans="1:16" s="114" customFormat="1" ht="18" customHeight="1" x14ac:dyDescent="0.45">
      <c r="A30" s="62"/>
      <c r="B30" s="194"/>
      <c r="G30" s="367" t="s">
        <v>80</v>
      </c>
      <c r="H30" s="367"/>
      <c r="I30" s="367"/>
      <c r="J30" s="15"/>
      <c r="K30" s="15"/>
      <c r="L30" s="367"/>
      <c r="M30" s="367"/>
      <c r="N30" s="367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10" zoomScaleNormal="100" workbookViewId="0">
      <selection activeCell="J25" sqref="J25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'2.1วสด.การแพทย์'!K1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27/5/62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3900</v>
      </c>
      <c r="D5" s="36">
        <v>0</v>
      </c>
      <c r="E5" s="36">
        <v>0</v>
      </c>
      <c r="F5" s="36">
        <f>3900+380</f>
        <v>4280</v>
      </c>
      <c r="G5" s="36">
        <v>0</v>
      </c>
      <c r="H5" s="36">
        <v>0</v>
      </c>
      <c r="I5" s="36">
        <v>3120</v>
      </c>
      <c r="J5" s="36">
        <v>0</v>
      </c>
      <c r="K5" s="36"/>
      <c r="L5" s="36"/>
      <c r="M5" s="36"/>
      <c r="N5" s="36"/>
      <c r="O5" s="271">
        <f>SUM(C5:N5)</f>
        <v>11300</v>
      </c>
      <c r="P5" s="290">
        <f t="shared" ref="P5:P27" si="0">O5/$O$23</f>
        <v>0.26223695081084591</v>
      </c>
    </row>
    <row r="6" spans="1:17" ht="17.25" customHeight="1" x14ac:dyDescent="0.2">
      <c r="A6" s="25">
        <v>2</v>
      </c>
      <c r="B6" s="26" t="s">
        <v>19</v>
      </c>
      <c r="C6" s="36">
        <v>1560</v>
      </c>
      <c r="D6" s="36">
        <v>780</v>
      </c>
      <c r="E6" s="36">
        <v>0</v>
      </c>
      <c r="F6" s="36">
        <v>1560</v>
      </c>
      <c r="G6" s="36">
        <v>1750</v>
      </c>
      <c r="H6" s="36">
        <v>0</v>
      </c>
      <c r="I6" s="36">
        <v>0</v>
      </c>
      <c r="J6" s="36">
        <v>0</v>
      </c>
      <c r="K6" s="36"/>
      <c r="L6" s="36"/>
      <c r="M6" s="36"/>
      <c r="N6" s="36"/>
      <c r="O6" s="271">
        <f t="shared" ref="O6:O27" si="1">SUM(C6:N6)</f>
        <v>5650</v>
      </c>
      <c r="P6" s="290">
        <f t="shared" si="0"/>
        <v>0.13111847540542296</v>
      </c>
    </row>
    <row r="7" spans="1:17" ht="17.25" customHeight="1" x14ac:dyDescent="0.2">
      <c r="A7" s="25">
        <v>3</v>
      </c>
      <c r="B7" s="26" t="s">
        <v>20</v>
      </c>
      <c r="C7" s="36">
        <f>1800</f>
        <v>1800</v>
      </c>
      <c r="D7" s="36">
        <v>440</v>
      </c>
      <c r="E7" s="36">
        <v>0</v>
      </c>
      <c r="F7" s="36">
        <v>0</v>
      </c>
      <c r="G7" s="36">
        <v>1100</v>
      </c>
      <c r="H7" s="36">
        <v>0</v>
      </c>
      <c r="I7" s="36">
        <v>0</v>
      </c>
      <c r="J7" s="36">
        <v>2600</v>
      </c>
      <c r="K7" s="36"/>
      <c r="L7" s="36"/>
      <c r="M7" s="36"/>
      <c r="N7" s="36"/>
      <c r="O7" s="271">
        <f t="shared" si="1"/>
        <v>5940</v>
      </c>
      <c r="P7" s="290">
        <f t="shared" si="0"/>
        <v>0.13784845024924114</v>
      </c>
    </row>
    <row r="8" spans="1:17" ht="17.25" customHeight="1" x14ac:dyDescent="0.2">
      <c r="A8" s="25">
        <v>4</v>
      </c>
      <c r="B8" s="26" t="s">
        <v>21</v>
      </c>
      <c r="C8" s="36">
        <v>1560</v>
      </c>
      <c r="D8" s="36">
        <v>0</v>
      </c>
      <c r="E8" s="36">
        <v>0</v>
      </c>
      <c r="F8" s="36">
        <v>0</v>
      </c>
      <c r="G8" s="36">
        <v>780</v>
      </c>
      <c r="H8" s="36">
        <v>1560</v>
      </c>
      <c r="I8" s="36">
        <v>0</v>
      </c>
      <c r="J8" s="36">
        <v>0</v>
      </c>
      <c r="K8" s="36"/>
      <c r="L8" s="36"/>
      <c r="M8" s="36"/>
      <c r="N8" s="36"/>
      <c r="O8" s="271">
        <f t="shared" si="1"/>
        <v>3900</v>
      </c>
      <c r="P8" s="290">
        <f t="shared" si="0"/>
        <v>9.0506558244451252E-2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5368.8</v>
      </c>
      <c r="K9" s="36"/>
      <c r="L9" s="36"/>
      <c r="M9" s="36"/>
      <c r="N9" s="36"/>
      <c r="O9" s="271">
        <f t="shared" si="1"/>
        <v>5368.8</v>
      </c>
      <c r="P9" s="290">
        <f t="shared" si="0"/>
        <v>0.12459272048789996</v>
      </c>
    </row>
    <row r="10" spans="1:17" ht="17.25" customHeight="1" x14ac:dyDescent="0.2">
      <c r="A10" s="25">
        <v>6</v>
      </c>
      <c r="B10" s="26" t="s">
        <v>3</v>
      </c>
      <c r="C10" s="36">
        <v>1320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1320</v>
      </c>
      <c r="J10" s="36">
        <v>0</v>
      </c>
      <c r="K10" s="36"/>
      <c r="L10" s="36"/>
      <c r="M10" s="36"/>
      <c r="N10" s="36"/>
      <c r="O10" s="271">
        <f t="shared" si="1"/>
        <v>2640</v>
      </c>
      <c r="P10" s="290">
        <f t="shared" si="0"/>
        <v>6.1265977888551613E-2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/>
      <c r="L11" s="36"/>
      <c r="M11" s="36"/>
      <c r="N11" s="36"/>
      <c r="O11" s="271">
        <f t="shared" si="1"/>
        <v>0</v>
      </c>
      <c r="P11" s="290">
        <f t="shared" si="0"/>
        <v>0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/>
      <c r="L12" s="36"/>
      <c r="M12" s="36"/>
      <c r="N12" s="36"/>
      <c r="O12" s="271">
        <f t="shared" si="1"/>
        <v>0</v>
      </c>
      <c r="P12" s="290">
        <f t="shared" si="0"/>
        <v>0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/>
      <c r="L13" s="36"/>
      <c r="M13" s="36"/>
      <c r="N13" s="36"/>
      <c r="O13" s="271">
        <f t="shared" si="1"/>
        <v>0</v>
      </c>
      <c r="P13" s="290">
        <f t="shared" si="0"/>
        <v>0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/>
      <c r="L14" s="36"/>
      <c r="M14" s="36"/>
      <c r="N14" s="36"/>
      <c r="O14" s="271">
        <f t="shared" si="1"/>
        <v>0</v>
      </c>
      <c r="P14" s="290">
        <f t="shared" si="0"/>
        <v>0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1350</v>
      </c>
      <c r="E15" s="36">
        <v>0</v>
      </c>
      <c r="F15" s="36">
        <v>900</v>
      </c>
      <c r="G15" s="36">
        <v>0</v>
      </c>
      <c r="H15" s="36">
        <v>0</v>
      </c>
      <c r="I15" s="36">
        <v>450</v>
      </c>
      <c r="J15" s="36">
        <v>0</v>
      </c>
      <c r="K15" s="36"/>
      <c r="L15" s="36"/>
      <c r="M15" s="36"/>
      <c r="N15" s="36"/>
      <c r="O15" s="271">
        <f t="shared" si="1"/>
        <v>2700</v>
      </c>
      <c r="P15" s="290">
        <f t="shared" si="0"/>
        <v>6.2658386476927785E-2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/>
      <c r="L16" s="36"/>
      <c r="M16" s="36"/>
      <c r="N16" s="36"/>
      <c r="O16" s="271">
        <f t="shared" si="1"/>
        <v>0</v>
      </c>
      <c r="P16" s="290">
        <f t="shared" si="0"/>
        <v>0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/>
      <c r="L17" s="36"/>
      <c r="M17" s="36"/>
      <c r="N17" s="36"/>
      <c r="O17" s="271">
        <f t="shared" si="1"/>
        <v>0</v>
      </c>
      <c r="P17" s="290">
        <f t="shared" si="0"/>
        <v>0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450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450</v>
      </c>
      <c r="K18" s="36"/>
      <c r="L18" s="36"/>
      <c r="M18" s="36"/>
      <c r="N18" s="36"/>
      <c r="O18" s="271">
        <f t="shared" si="1"/>
        <v>900</v>
      </c>
      <c r="P18" s="290">
        <f t="shared" si="0"/>
        <v>2.0886128825642596E-2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f>1350</f>
        <v>1350</v>
      </c>
      <c r="H19" s="36">
        <v>1350</v>
      </c>
      <c r="I19" s="36">
        <v>0</v>
      </c>
      <c r="J19" s="36">
        <v>1350</v>
      </c>
      <c r="K19" s="36"/>
      <c r="L19" s="36"/>
      <c r="M19" s="36"/>
      <c r="N19" s="36"/>
      <c r="O19" s="271">
        <f t="shared" si="1"/>
        <v>4050</v>
      </c>
      <c r="P19" s="290">
        <f t="shared" si="0"/>
        <v>9.3987579715391678E-2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450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/>
      <c r="L20" s="36"/>
      <c r="M20" s="36"/>
      <c r="N20" s="36"/>
      <c r="O20" s="271">
        <f t="shared" si="1"/>
        <v>450</v>
      </c>
      <c r="P20" s="290">
        <f t="shared" si="0"/>
        <v>1.0443064412821298E-2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/>
      <c r="L21" s="36"/>
      <c r="M21" s="36"/>
      <c r="N21" s="36"/>
      <c r="O21" s="271">
        <f t="shared" si="1"/>
        <v>0</v>
      </c>
      <c r="P21" s="290">
        <f t="shared" si="0"/>
        <v>0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v>0</v>
      </c>
      <c r="E22" s="36">
        <v>192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/>
      <c r="L22" s="36"/>
      <c r="M22" s="36"/>
      <c r="N22" s="36"/>
      <c r="O22" s="271">
        <f t="shared" si="1"/>
        <v>192</v>
      </c>
      <c r="P22" s="290">
        <f t="shared" si="0"/>
        <v>4.4557074828037533E-3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C5+C6+C7+C8+C10</f>
        <v>10140</v>
      </c>
      <c r="D23" s="42">
        <f>D6+D7+D15+D18</f>
        <v>3020</v>
      </c>
      <c r="E23" s="42">
        <f>E20+E22</f>
        <v>642</v>
      </c>
      <c r="F23" s="42">
        <f>F5+F6+F15</f>
        <v>6740</v>
      </c>
      <c r="G23" s="42">
        <f>G19+G8+G7+G6</f>
        <v>4980</v>
      </c>
      <c r="H23" s="42">
        <f>H19+H8</f>
        <v>2910</v>
      </c>
      <c r="I23" s="42">
        <f>I15+I10+I5</f>
        <v>4890</v>
      </c>
      <c r="J23" s="361">
        <f>J19+J18+J9+J7</f>
        <v>9768.7999999999993</v>
      </c>
      <c r="K23" s="42"/>
      <c r="L23" s="42"/>
      <c r="M23" s="42"/>
      <c r="N23" s="42"/>
      <c r="O23" s="54">
        <f t="shared" si="1"/>
        <v>43090.8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0</v>
      </c>
      <c r="F24" s="36">
        <v>10000</v>
      </c>
      <c r="G24" s="36">
        <v>0</v>
      </c>
      <c r="H24" s="36">
        <v>0</v>
      </c>
      <c r="I24" s="36">
        <v>560</v>
      </c>
      <c r="J24" s="36">
        <v>0</v>
      </c>
      <c r="K24" s="36"/>
      <c r="L24" s="36"/>
      <c r="M24" s="36"/>
      <c r="N24" s="36"/>
      <c r="O24" s="271">
        <f t="shared" si="1"/>
        <v>10560</v>
      </c>
      <c r="P24" s="290">
        <f t="shared" si="0"/>
        <v>0.24506391155420645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</f>
        <v>10140</v>
      </c>
      <c r="D27" s="282">
        <v>3020</v>
      </c>
      <c r="E27" s="282">
        <v>642</v>
      </c>
      <c r="F27" s="282">
        <f>F23+F24</f>
        <v>16740</v>
      </c>
      <c r="G27" s="282">
        <f>G23+G24</f>
        <v>4980</v>
      </c>
      <c r="H27" s="282">
        <f>H23</f>
        <v>2910</v>
      </c>
      <c r="I27" s="282">
        <f>I24+I23</f>
        <v>5450</v>
      </c>
      <c r="J27" s="282"/>
      <c r="K27" s="282"/>
      <c r="L27" s="282"/>
      <c r="M27" s="282"/>
      <c r="N27" s="282"/>
      <c r="O27" s="283">
        <f t="shared" si="1"/>
        <v>43882</v>
      </c>
      <c r="P27" s="293">
        <f t="shared" si="0"/>
        <v>1.0183612279187204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7" t="s">
        <v>49</v>
      </c>
      <c r="M29" s="367"/>
      <c r="N29" s="367"/>
      <c r="O29" s="167"/>
      <c r="P29" s="300"/>
    </row>
    <row r="30" spans="1:16" s="114" customFormat="1" ht="18" customHeight="1" x14ac:dyDescent="0.45">
      <c r="A30" s="62"/>
      <c r="B30" s="194"/>
      <c r="G30" s="367" t="s">
        <v>80</v>
      </c>
      <c r="H30" s="367"/>
      <c r="I30" s="367"/>
      <c r="J30" s="15"/>
      <c r="K30" s="15"/>
      <c r="L30" s="367"/>
      <c r="M30" s="367"/>
      <c r="N30" s="367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9" zoomScaleNormal="100" workbookViewId="0">
      <selection activeCell="J25" sqref="J25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'2.2วสด.สนง'!K1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27/5/62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f>550+1650</f>
        <v>2200</v>
      </c>
      <c r="E5" s="36">
        <v>0</v>
      </c>
      <c r="F5" s="36">
        <v>1080</v>
      </c>
      <c r="G5" s="36">
        <f>432+440</f>
        <v>872</v>
      </c>
      <c r="H5" s="36">
        <v>0</v>
      </c>
      <c r="I5" s="36">
        <v>1100</v>
      </c>
      <c r="J5" s="36">
        <f>550+440+220</f>
        <v>1210</v>
      </c>
      <c r="K5" s="36"/>
      <c r="L5" s="36"/>
      <c r="M5" s="36"/>
      <c r="N5" s="36"/>
      <c r="O5" s="271">
        <f>SUM(C5:N5)</f>
        <v>6462</v>
      </c>
      <c r="P5" s="290">
        <f t="shared" ref="P5:P27" si="0">O5/$O$23</f>
        <v>0.11621884104888314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1650</v>
      </c>
      <c r="E6" s="36">
        <v>540</v>
      </c>
      <c r="F6" s="36">
        <v>886</v>
      </c>
      <c r="G6" s="36">
        <v>0</v>
      </c>
      <c r="H6" s="36">
        <v>0</v>
      </c>
      <c r="I6" s="36">
        <v>550</v>
      </c>
      <c r="J6" s="36">
        <v>780</v>
      </c>
      <c r="K6" s="36"/>
      <c r="L6" s="36"/>
      <c r="M6" s="36"/>
      <c r="N6" s="36"/>
      <c r="O6" s="271">
        <f t="shared" ref="O6:O27" si="1">SUM(C6:N6)</f>
        <v>4406</v>
      </c>
      <c r="P6" s="290">
        <f t="shared" si="0"/>
        <v>7.9241753893744826E-2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1050</v>
      </c>
      <c r="G7" s="36">
        <v>0</v>
      </c>
      <c r="H7" s="36">
        <v>0</v>
      </c>
      <c r="I7" s="36">
        <v>0</v>
      </c>
      <c r="J7" s="36">
        <f>112+550+660+1400</f>
        <v>2722</v>
      </c>
      <c r="K7" s="36"/>
      <c r="L7" s="36"/>
      <c r="M7" s="36"/>
      <c r="N7" s="36"/>
      <c r="O7" s="271">
        <f t="shared" si="1"/>
        <v>3772</v>
      </c>
      <c r="P7" s="290">
        <f t="shared" si="0"/>
        <v>6.7839286356605882E-2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f>575+2160+1100</f>
        <v>3835</v>
      </c>
      <c r="E8" s="36">
        <v>0</v>
      </c>
      <c r="F8" s="36">
        <v>0</v>
      </c>
      <c r="G8" s="36">
        <v>550</v>
      </c>
      <c r="H8" s="36">
        <v>550</v>
      </c>
      <c r="I8" s="36">
        <v>0</v>
      </c>
      <c r="J8" s="36">
        <v>0</v>
      </c>
      <c r="K8" s="36"/>
      <c r="L8" s="36"/>
      <c r="M8" s="36"/>
      <c r="N8" s="36"/>
      <c r="O8" s="271">
        <f t="shared" si="1"/>
        <v>4935</v>
      </c>
      <c r="P8" s="290">
        <f t="shared" si="0"/>
        <v>8.8755800151073705E-2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1750</v>
      </c>
      <c r="I9" s="36">
        <v>0</v>
      </c>
      <c r="J9" s="36">
        <v>0</v>
      </c>
      <c r="K9" s="36"/>
      <c r="L9" s="36"/>
      <c r="M9" s="36"/>
      <c r="N9" s="36"/>
      <c r="O9" s="271">
        <f t="shared" si="1"/>
        <v>1750</v>
      </c>
      <c r="P9" s="290">
        <f t="shared" si="0"/>
        <v>3.1473687996834643E-2</v>
      </c>
    </row>
    <row r="10" spans="1:17" ht="17.25" customHeight="1" x14ac:dyDescent="0.2">
      <c r="A10" s="25">
        <v>6</v>
      </c>
      <c r="B10" s="26" t="s">
        <v>3</v>
      </c>
      <c r="C10" s="36">
        <v>160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550</v>
      </c>
      <c r="K10" s="36"/>
      <c r="L10" s="36"/>
      <c r="M10" s="36"/>
      <c r="N10" s="36"/>
      <c r="O10" s="271">
        <f t="shared" si="1"/>
        <v>710</v>
      </c>
      <c r="P10" s="290">
        <f t="shared" si="0"/>
        <v>1.2769324844430056E-2</v>
      </c>
    </row>
    <row r="11" spans="1:17" ht="17.25" customHeight="1" x14ac:dyDescent="0.2">
      <c r="A11" s="25">
        <v>7</v>
      </c>
      <c r="B11" s="26" t="s">
        <v>4</v>
      </c>
      <c r="C11" s="36">
        <v>700</v>
      </c>
      <c r="D11" s="36">
        <f>540+1050+175</f>
        <v>1765</v>
      </c>
      <c r="E11" s="36">
        <v>0</v>
      </c>
      <c r="F11" s="36">
        <v>1050</v>
      </c>
      <c r="G11" s="36">
        <v>0</v>
      </c>
      <c r="H11" s="36">
        <v>0</v>
      </c>
      <c r="I11" s="36">
        <v>0</v>
      </c>
      <c r="J11" s="36">
        <v>0</v>
      </c>
      <c r="K11" s="36"/>
      <c r="L11" s="36"/>
      <c r="M11" s="36"/>
      <c r="N11" s="36"/>
      <c r="O11" s="271">
        <f t="shared" si="1"/>
        <v>3515</v>
      </c>
      <c r="P11" s="290">
        <f t="shared" si="0"/>
        <v>6.3217150462213587E-2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f>540+280+160</f>
        <v>980</v>
      </c>
      <c r="E12" s="36">
        <v>0</v>
      </c>
      <c r="F12" s="36">
        <f>216+1400+160+275</f>
        <v>2051</v>
      </c>
      <c r="G12" s="36">
        <v>0</v>
      </c>
      <c r="H12" s="36">
        <v>1400</v>
      </c>
      <c r="I12" s="36">
        <v>0</v>
      </c>
      <c r="J12" s="36">
        <f>336+1400</f>
        <v>1736</v>
      </c>
      <c r="K12" s="36"/>
      <c r="L12" s="36"/>
      <c r="M12" s="36"/>
      <c r="N12" s="36"/>
      <c r="O12" s="271">
        <f t="shared" si="1"/>
        <v>6167</v>
      </c>
      <c r="P12" s="290">
        <f t="shared" si="0"/>
        <v>0.11091327650084529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f>70</f>
        <v>70</v>
      </c>
      <c r="E13" s="36">
        <v>0</v>
      </c>
      <c r="F13" s="36">
        <f>1050+324</f>
        <v>1374</v>
      </c>
      <c r="G13" s="36">
        <v>0</v>
      </c>
      <c r="H13" s="36">
        <f>224+1050</f>
        <v>1274</v>
      </c>
      <c r="I13" s="36">
        <v>0</v>
      </c>
      <c r="J13" s="36">
        <v>35</v>
      </c>
      <c r="K13" s="36"/>
      <c r="L13" s="36"/>
      <c r="M13" s="36"/>
      <c r="N13" s="36"/>
      <c r="O13" s="271">
        <f t="shared" si="1"/>
        <v>2753</v>
      </c>
      <c r="P13" s="290">
        <f t="shared" si="0"/>
        <v>4.9512607460163303E-2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350</v>
      </c>
      <c r="F14" s="36">
        <v>0</v>
      </c>
      <c r="G14" s="36">
        <v>0</v>
      </c>
      <c r="H14" s="36">
        <v>0</v>
      </c>
      <c r="I14" s="36">
        <v>350</v>
      </c>
      <c r="J14" s="36">
        <v>0</v>
      </c>
      <c r="K14" s="36"/>
      <c r="L14" s="36"/>
      <c r="M14" s="36"/>
      <c r="N14" s="36"/>
      <c r="O14" s="271">
        <f t="shared" si="1"/>
        <v>700</v>
      </c>
      <c r="P14" s="290">
        <f t="shared" si="0"/>
        <v>1.2589475198733859E-2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f>550+540+175</f>
        <v>1265</v>
      </c>
      <c r="E15" s="36">
        <f>108+350</f>
        <v>458</v>
      </c>
      <c r="F15" s="36">
        <v>0</v>
      </c>
      <c r="G15" s="36">
        <v>1750</v>
      </c>
      <c r="H15" s="36">
        <f>110+330</f>
        <v>440</v>
      </c>
      <c r="I15" s="36">
        <f>660</f>
        <v>660</v>
      </c>
      <c r="J15" s="36">
        <v>0</v>
      </c>
      <c r="K15" s="36"/>
      <c r="L15" s="36"/>
      <c r="M15" s="36"/>
      <c r="N15" s="36"/>
      <c r="O15" s="271">
        <f t="shared" si="1"/>
        <v>4573</v>
      </c>
      <c r="P15" s="290">
        <f t="shared" si="0"/>
        <v>8.224524297687133E-2</v>
      </c>
    </row>
    <row r="16" spans="1:17" ht="17.25" customHeight="1" x14ac:dyDescent="0.2">
      <c r="A16" s="25">
        <v>13</v>
      </c>
      <c r="B16" s="26" t="s">
        <v>9</v>
      </c>
      <c r="C16" s="36">
        <v>112</v>
      </c>
      <c r="D16" s="36">
        <f>112+330+275</f>
        <v>717</v>
      </c>
      <c r="E16" s="36">
        <v>0</v>
      </c>
      <c r="F16" s="36">
        <v>360</v>
      </c>
      <c r="G16" s="36">
        <f>216+175</f>
        <v>391</v>
      </c>
      <c r="H16" s="36">
        <v>0</v>
      </c>
      <c r="I16" s="36">
        <v>350</v>
      </c>
      <c r="J16" s="36">
        <v>220</v>
      </c>
      <c r="K16" s="36"/>
      <c r="L16" s="36"/>
      <c r="M16" s="36"/>
      <c r="N16" s="36"/>
      <c r="O16" s="271">
        <f t="shared" si="1"/>
        <v>2150</v>
      </c>
      <c r="P16" s="290">
        <f t="shared" si="0"/>
        <v>3.8667673824682565E-2</v>
      </c>
    </row>
    <row r="17" spans="1:17" ht="17.25" customHeight="1" x14ac:dyDescent="0.2">
      <c r="A17" s="25">
        <v>14</v>
      </c>
      <c r="B17" s="26" t="s">
        <v>10</v>
      </c>
      <c r="C17" s="36">
        <v>1050</v>
      </c>
      <c r="D17" s="36">
        <v>0</v>
      </c>
      <c r="E17" s="36">
        <v>0</v>
      </c>
      <c r="F17" s="36">
        <f>1050+320+550</f>
        <v>1920</v>
      </c>
      <c r="G17" s="36">
        <v>0</v>
      </c>
      <c r="H17" s="36">
        <v>0</v>
      </c>
      <c r="I17" s="36">
        <v>1050</v>
      </c>
      <c r="J17" s="36">
        <v>0</v>
      </c>
      <c r="K17" s="36"/>
      <c r="L17" s="36"/>
      <c r="M17" s="36"/>
      <c r="N17" s="36"/>
      <c r="O17" s="271">
        <f t="shared" si="1"/>
        <v>4020</v>
      </c>
      <c r="P17" s="290">
        <f t="shared" si="0"/>
        <v>7.2299557569871581E-2</v>
      </c>
    </row>
    <row r="18" spans="1:17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f>350+320</f>
        <v>670</v>
      </c>
      <c r="G18" s="36">
        <f>350+55</f>
        <v>405</v>
      </c>
      <c r="H18" s="36">
        <v>0</v>
      </c>
      <c r="I18" s="36">
        <v>0</v>
      </c>
      <c r="J18" s="36">
        <v>0</v>
      </c>
      <c r="K18" s="36"/>
      <c r="L18" s="36"/>
      <c r="M18" s="36"/>
      <c r="N18" s="36"/>
      <c r="O18" s="271">
        <f t="shared" si="1"/>
        <v>1075</v>
      </c>
      <c r="P18" s="290">
        <f t="shared" si="0"/>
        <v>1.9333836912341282E-2</v>
      </c>
    </row>
    <row r="19" spans="1:17" ht="17.25" customHeight="1" x14ac:dyDescent="0.2">
      <c r="A19" s="25">
        <v>16</v>
      </c>
      <c r="B19" s="26" t="s">
        <v>12</v>
      </c>
      <c r="C19" s="36">
        <v>550</v>
      </c>
      <c r="D19" s="36">
        <f>540+550</f>
        <v>1090</v>
      </c>
      <c r="E19" s="36">
        <v>540</v>
      </c>
      <c r="F19" s="36">
        <v>0</v>
      </c>
      <c r="G19" s="36">
        <f>2200+700</f>
        <v>2900</v>
      </c>
      <c r="H19" s="36">
        <v>0</v>
      </c>
      <c r="I19" s="36">
        <v>0</v>
      </c>
      <c r="J19" s="36">
        <v>350</v>
      </c>
      <c r="K19" s="36"/>
      <c r="L19" s="36"/>
      <c r="M19" s="36"/>
      <c r="N19" s="36"/>
      <c r="O19" s="271">
        <f t="shared" si="1"/>
        <v>5430</v>
      </c>
      <c r="P19" s="290">
        <f t="shared" si="0"/>
        <v>9.7658357613035499E-2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550</v>
      </c>
      <c r="F20" s="36">
        <v>0</v>
      </c>
      <c r="G20" s="36">
        <f>1050+160+275</f>
        <v>1485</v>
      </c>
      <c r="H20" s="36">
        <v>0</v>
      </c>
      <c r="I20" s="36">
        <v>0</v>
      </c>
      <c r="J20" s="36">
        <v>0</v>
      </c>
      <c r="K20" s="36"/>
      <c r="L20" s="36"/>
      <c r="M20" s="36"/>
      <c r="N20" s="36"/>
      <c r="O20" s="271">
        <f t="shared" si="1"/>
        <v>2035</v>
      </c>
      <c r="P20" s="290">
        <f t="shared" si="0"/>
        <v>3.6599402899176292E-2</v>
      </c>
    </row>
    <row r="21" spans="1:17" ht="17.25" customHeight="1" x14ac:dyDescent="0.2">
      <c r="A21" s="25">
        <v>18</v>
      </c>
      <c r="B21" s="26" t="s">
        <v>14</v>
      </c>
      <c r="C21" s="36">
        <v>0</v>
      </c>
      <c r="D21" s="36">
        <v>330</v>
      </c>
      <c r="E21" s="36">
        <v>0</v>
      </c>
      <c r="F21" s="36">
        <f>700+700</f>
        <v>1400</v>
      </c>
      <c r="G21" s="36">
        <v>0</v>
      </c>
      <c r="H21" s="36">
        <v>110</v>
      </c>
      <c r="I21" s="36">
        <v>330</v>
      </c>
      <c r="J21" s="36">
        <v>0</v>
      </c>
      <c r="K21" s="36"/>
      <c r="L21" s="36"/>
      <c r="M21" s="36"/>
      <c r="N21" s="36"/>
      <c r="O21" s="271">
        <f t="shared" si="1"/>
        <v>2170</v>
      </c>
      <c r="P21" s="290">
        <f t="shared" si="0"/>
        <v>3.9027373116074959E-2</v>
      </c>
    </row>
    <row r="22" spans="1:17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108</v>
      </c>
      <c r="G22" s="36">
        <v>0</v>
      </c>
      <c r="H22" s="36">
        <f>220+420</f>
        <v>640</v>
      </c>
      <c r="I22" s="36">
        <f>420+128</f>
        <v>548</v>
      </c>
      <c r="J22" s="36">
        <f>110+210</f>
        <v>320</v>
      </c>
      <c r="K22" s="36"/>
      <c r="L22" s="36"/>
      <c r="M22" s="36"/>
      <c r="N22" s="36"/>
      <c r="O22" s="271">
        <f t="shared" si="1"/>
        <v>1616</v>
      </c>
      <c r="P22" s="290">
        <f t="shared" si="0"/>
        <v>2.9063702744505593E-2</v>
      </c>
    </row>
    <row r="23" spans="1:17" s="48" customFormat="1" ht="17.25" customHeight="1" x14ac:dyDescent="0.2">
      <c r="A23" s="45">
        <v>5.486111111111111E-2</v>
      </c>
      <c r="B23" s="154" t="s">
        <v>22</v>
      </c>
      <c r="C23" s="42">
        <f>C10+C11+C16+C17+C19</f>
        <v>2572</v>
      </c>
      <c r="D23" s="42">
        <f>D5+D6+D8+D11+D12+D13+D15+D19+D21</f>
        <v>13185</v>
      </c>
      <c r="E23" s="42">
        <f>E6+E14+E15+E19+E20</f>
        <v>2438</v>
      </c>
      <c r="F23" s="42">
        <f>F5+F6+F7+F11+F12+F13+F16+F18+F21+F22</f>
        <v>10029</v>
      </c>
      <c r="G23" s="42">
        <f>G20+G19+G18+G16+G15+G8+G5</f>
        <v>8353</v>
      </c>
      <c r="H23" s="42">
        <f>H8+H9+H12+H13+H15+H21+H22</f>
        <v>6164</v>
      </c>
      <c r="I23" s="42">
        <f>I21+I17+I16+I15+I14+I6+I5+I22</f>
        <v>4938</v>
      </c>
      <c r="J23" s="42">
        <f>J19+J16+J13+J12+J10+J7+J6+J5+J22</f>
        <v>7923</v>
      </c>
      <c r="K23" s="42"/>
      <c r="L23" s="42"/>
      <c r="M23" s="42"/>
      <c r="N23" s="42"/>
      <c r="O23" s="54">
        <f t="shared" si="1"/>
        <v>55602</v>
      </c>
      <c r="P23" s="291">
        <f t="shared" si="0"/>
        <v>1</v>
      </c>
    </row>
    <row r="24" spans="1:17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f>560+550</f>
        <v>1110</v>
      </c>
      <c r="F24" s="36">
        <v>660</v>
      </c>
      <c r="G24" s="36">
        <v>550</v>
      </c>
      <c r="H24" s="36">
        <v>550</v>
      </c>
      <c r="I24" s="36">
        <v>0</v>
      </c>
      <c r="J24" s="36">
        <v>0</v>
      </c>
      <c r="K24" s="36"/>
      <c r="L24" s="36"/>
      <c r="M24" s="36"/>
      <c r="N24" s="36"/>
      <c r="O24" s="271">
        <f t="shared" si="1"/>
        <v>2870</v>
      </c>
      <c r="P24" s="290">
        <f t="shared" si="0"/>
        <v>5.1616848314808818E-2</v>
      </c>
    </row>
    <row r="25" spans="1:17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7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7" s="55" customFormat="1" ht="17.25" customHeight="1" x14ac:dyDescent="0.2">
      <c r="A27" s="203" t="s">
        <v>26</v>
      </c>
      <c r="B27" s="208" t="s">
        <v>25</v>
      </c>
      <c r="C27" s="282">
        <f>C23+C26</f>
        <v>2572</v>
      </c>
      <c r="D27" s="282">
        <f t="shared" ref="D27:N27" si="2">D23+D26</f>
        <v>13185</v>
      </c>
      <c r="E27" s="282">
        <f>E23+E24</f>
        <v>3548</v>
      </c>
      <c r="F27" s="282">
        <f>F23+F26</f>
        <v>10029</v>
      </c>
      <c r="G27" s="282">
        <f t="shared" si="2"/>
        <v>8353</v>
      </c>
      <c r="H27" s="282">
        <f>H23+H26</f>
        <v>6164</v>
      </c>
      <c r="I27" s="282">
        <f t="shared" si="2"/>
        <v>4938</v>
      </c>
      <c r="J27" s="282">
        <f t="shared" si="2"/>
        <v>7923</v>
      </c>
      <c r="K27" s="282">
        <f t="shared" si="2"/>
        <v>0</v>
      </c>
      <c r="L27" s="282">
        <f t="shared" si="2"/>
        <v>0</v>
      </c>
      <c r="M27" s="282">
        <f t="shared" si="2"/>
        <v>0</v>
      </c>
      <c r="N27" s="282">
        <f t="shared" si="2"/>
        <v>0</v>
      </c>
      <c r="O27" s="283">
        <f t="shared" si="1"/>
        <v>56712</v>
      </c>
      <c r="P27" s="293">
        <f t="shared" si="0"/>
        <v>1.0199633106722781</v>
      </c>
    </row>
    <row r="28" spans="1:17" s="114" customFormat="1" ht="18" customHeight="1" x14ac:dyDescent="0.45">
      <c r="A28" s="62"/>
      <c r="B28" s="194"/>
      <c r="O28" s="167"/>
      <c r="P28" s="300"/>
    </row>
    <row r="29" spans="1:17" s="114" customFormat="1" ht="18" customHeight="1" x14ac:dyDescent="0.45">
      <c r="A29" s="62"/>
      <c r="B29" s="194"/>
      <c r="L29" s="367" t="s">
        <v>49</v>
      </c>
      <c r="M29" s="367"/>
      <c r="N29" s="367"/>
      <c r="O29" s="167"/>
      <c r="P29" s="300"/>
    </row>
    <row r="30" spans="1:17" s="114" customFormat="1" ht="18" customHeight="1" x14ac:dyDescent="0.45">
      <c r="A30" s="62"/>
      <c r="B30" s="194"/>
      <c r="G30" s="367" t="s">
        <v>80</v>
      </c>
      <c r="H30" s="367"/>
      <c r="I30" s="367"/>
      <c r="J30" s="15"/>
      <c r="K30" s="15"/>
      <c r="L30" s="367"/>
      <c r="M30" s="367"/>
      <c r="N30" s="367"/>
      <c r="O30" s="167"/>
      <c r="P30" s="300"/>
    </row>
    <row r="31" spans="1:17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7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  <c r="Q32" s="114">
        <v>0</v>
      </c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4" zoomScaleNormal="100" workbookViewId="0">
      <selection activeCell="J25" sqref="J25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'2.3วสด.งานบ้าน'!K1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01" customFormat="1" ht="17.25" customHeight="1" x14ac:dyDescent="0.2">
      <c r="A2" s="251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5"/>
      <c r="F2" s="245"/>
      <c r="G2" s="245"/>
      <c r="I2" s="245"/>
      <c r="J2" s="245"/>
      <c r="K2" s="245"/>
      <c r="M2" s="246"/>
      <c r="N2" s="247" t="str">
        <f>'2.รวมวชย ทุกประเภท'!N2</f>
        <v>รายงานข้อมูลณ วันที่ 27/5/62</v>
      </c>
      <c r="O2" s="165"/>
      <c r="P2" s="294"/>
      <c r="Q2" s="252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7560</v>
      </c>
      <c r="D5" s="36">
        <f>7560</f>
        <v>7560</v>
      </c>
      <c r="E5" s="36">
        <v>158.36000000000001</v>
      </c>
      <c r="F5" s="36">
        <v>5040</v>
      </c>
      <c r="G5" s="36">
        <v>0</v>
      </c>
      <c r="H5" s="36">
        <v>0</v>
      </c>
      <c r="I5" s="36">
        <v>0</v>
      </c>
      <c r="J5" s="36">
        <v>2520</v>
      </c>
      <c r="K5" s="36"/>
      <c r="L5" s="36"/>
      <c r="M5" s="36"/>
      <c r="N5" s="36"/>
      <c r="O5" s="271">
        <f>SUM(C5:N5)</f>
        <v>22838.36</v>
      </c>
      <c r="P5" s="290">
        <f t="shared" ref="P5:P27" si="0">O5/$O$23</f>
        <v>0.13673093801524744</v>
      </c>
    </row>
    <row r="6" spans="1:17" ht="17.25" customHeight="1" x14ac:dyDescent="0.2">
      <c r="A6" s="25">
        <v>2</v>
      </c>
      <c r="B6" s="26" t="s">
        <v>19</v>
      </c>
      <c r="C6" s="36">
        <v>2520</v>
      </c>
      <c r="D6" s="36">
        <v>2520</v>
      </c>
      <c r="E6" s="36">
        <f>158.36+237.54</f>
        <v>395.9</v>
      </c>
      <c r="F6" s="36">
        <v>395</v>
      </c>
      <c r="G6" s="36">
        <v>2520</v>
      </c>
      <c r="H6" s="36">
        <v>79.180000000000007</v>
      </c>
      <c r="I6" s="36">
        <v>2520</v>
      </c>
      <c r="J6" s="36">
        <v>0</v>
      </c>
      <c r="K6" s="36"/>
      <c r="L6" s="36"/>
      <c r="M6" s="36"/>
      <c r="N6" s="36"/>
      <c r="O6" s="271">
        <f t="shared" ref="O6:O27" si="1">SUM(C6:N6)</f>
        <v>10950.08</v>
      </c>
      <c r="P6" s="290">
        <f t="shared" si="0"/>
        <v>6.5557015028312043E-2</v>
      </c>
    </row>
    <row r="7" spans="1:17" ht="17.25" customHeight="1" x14ac:dyDescent="0.2">
      <c r="A7" s="25">
        <v>3</v>
      </c>
      <c r="B7" s="26" t="s">
        <v>20</v>
      </c>
      <c r="C7" s="36">
        <f>5440+750</f>
        <v>6190</v>
      </c>
      <c r="D7" s="36">
        <v>158.36000000000001</v>
      </c>
      <c r="E7" s="36">
        <v>0</v>
      </c>
      <c r="F7" s="36">
        <v>0</v>
      </c>
      <c r="G7" s="36">
        <f>395+79.18</f>
        <v>474.18</v>
      </c>
      <c r="H7" s="36">
        <v>0</v>
      </c>
      <c r="I7" s="36">
        <v>0</v>
      </c>
      <c r="J7" s="36">
        <v>2520</v>
      </c>
      <c r="K7" s="36"/>
      <c r="L7" s="36"/>
      <c r="M7" s="36"/>
      <c r="N7" s="36"/>
      <c r="O7" s="271">
        <f t="shared" si="1"/>
        <v>9342.5400000000009</v>
      </c>
      <c r="P7" s="290">
        <f t="shared" si="0"/>
        <v>5.59328365804274E-2</v>
      </c>
    </row>
    <row r="8" spans="1:17" ht="17.25" customHeight="1" x14ac:dyDescent="0.2">
      <c r="A8" s="25">
        <v>4</v>
      </c>
      <c r="B8" s="26" t="s">
        <v>21</v>
      </c>
      <c r="C8" s="36">
        <v>7560</v>
      </c>
      <c r="D8" s="36">
        <v>12600</v>
      </c>
      <c r="E8" s="36">
        <v>0</v>
      </c>
      <c r="F8" s="36">
        <v>0</v>
      </c>
      <c r="G8" s="36">
        <v>395</v>
      </c>
      <c r="H8" s="36">
        <v>0</v>
      </c>
      <c r="I8" s="36">
        <v>0</v>
      </c>
      <c r="J8" s="36">
        <v>795</v>
      </c>
      <c r="K8" s="36"/>
      <c r="L8" s="36"/>
      <c r="M8" s="36"/>
      <c r="N8" s="36"/>
      <c r="O8" s="271">
        <f t="shared" si="1"/>
        <v>21350</v>
      </c>
      <c r="P8" s="290">
        <f t="shared" si="0"/>
        <v>0.12782027810339852</v>
      </c>
    </row>
    <row r="9" spans="1:17" ht="17.25" customHeight="1" x14ac:dyDescent="0.2">
      <c r="A9" s="25">
        <v>5</v>
      </c>
      <c r="B9" s="26" t="s">
        <v>2</v>
      </c>
      <c r="C9" s="36">
        <f>3780+5040</f>
        <v>8820</v>
      </c>
      <c r="D9" s="36">
        <v>158.36000000000001</v>
      </c>
      <c r="E9" s="36">
        <v>2520</v>
      </c>
      <c r="F9" s="36">
        <v>395</v>
      </c>
      <c r="G9" s="36">
        <v>0</v>
      </c>
      <c r="H9" s="36">
        <v>0</v>
      </c>
      <c r="I9" s="36">
        <v>0</v>
      </c>
      <c r="J9" s="36">
        <v>0</v>
      </c>
      <c r="K9" s="36"/>
      <c r="L9" s="36"/>
      <c r="M9" s="36"/>
      <c r="N9" s="36"/>
      <c r="O9" s="271">
        <f t="shared" si="1"/>
        <v>11893.36</v>
      </c>
      <c r="P9" s="290">
        <f t="shared" si="0"/>
        <v>7.1204336430156251E-2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4234.18</v>
      </c>
      <c r="E10" s="36">
        <f>1260+79.18</f>
        <v>1339.18</v>
      </c>
      <c r="F10" s="36">
        <v>6300</v>
      </c>
      <c r="G10" s="36">
        <v>0</v>
      </c>
      <c r="H10" s="36">
        <v>0</v>
      </c>
      <c r="I10" s="36">
        <v>0</v>
      </c>
      <c r="J10" s="36">
        <v>0</v>
      </c>
      <c r="K10" s="36"/>
      <c r="L10" s="36"/>
      <c r="M10" s="36"/>
      <c r="N10" s="36"/>
      <c r="O10" s="271">
        <f t="shared" si="1"/>
        <v>11873.36</v>
      </c>
      <c r="P10" s="290">
        <f t="shared" si="0"/>
        <v>7.1084598464719817E-2</v>
      </c>
    </row>
    <row r="11" spans="1:17" ht="17.25" customHeight="1" x14ac:dyDescent="0.2">
      <c r="A11" s="25">
        <v>7</v>
      </c>
      <c r="B11" s="26" t="s">
        <v>4</v>
      </c>
      <c r="C11" s="36">
        <v>5040</v>
      </c>
      <c r="D11" s="36">
        <f>2520</f>
        <v>2520</v>
      </c>
      <c r="E11" s="36">
        <v>0</v>
      </c>
      <c r="F11" s="36">
        <v>0</v>
      </c>
      <c r="G11" s="36">
        <v>2520</v>
      </c>
      <c r="H11" s="36">
        <v>118.5</v>
      </c>
      <c r="I11" s="36">
        <v>0</v>
      </c>
      <c r="J11" s="36">
        <v>2520</v>
      </c>
      <c r="K11" s="36"/>
      <c r="L11" s="36"/>
      <c r="M11" s="36"/>
      <c r="N11" s="36"/>
      <c r="O11" s="271">
        <f t="shared" si="1"/>
        <v>12718.5</v>
      </c>
      <c r="P11" s="290">
        <f t="shared" si="0"/>
        <v>7.6144365670167413E-2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158.36000000000001</v>
      </c>
      <c r="I12" s="36">
        <v>0</v>
      </c>
      <c r="J12" s="36">
        <v>0</v>
      </c>
      <c r="K12" s="36"/>
      <c r="L12" s="36"/>
      <c r="M12" s="36"/>
      <c r="N12" s="36"/>
      <c r="O12" s="271">
        <f t="shared" si="1"/>
        <v>158.36000000000001</v>
      </c>
      <c r="P12" s="290">
        <f t="shared" si="0"/>
        <v>9.480852103257233E-4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f>1008+158.36+60</f>
        <v>1226.3600000000001</v>
      </c>
      <c r="E13" s="36">
        <v>0</v>
      </c>
      <c r="F13" s="36">
        <v>5040</v>
      </c>
      <c r="G13" s="36">
        <v>1008</v>
      </c>
      <c r="H13" s="36">
        <v>79.8</v>
      </c>
      <c r="I13" s="36">
        <v>1008</v>
      </c>
      <c r="J13" s="36">
        <v>1764</v>
      </c>
      <c r="K13" s="36"/>
      <c r="L13" s="36"/>
      <c r="M13" s="36"/>
      <c r="N13" s="36"/>
      <c r="O13" s="271">
        <f t="shared" si="1"/>
        <v>10126.16</v>
      </c>
      <c r="P13" s="290">
        <f t="shared" si="0"/>
        <v>6.0624289804192509E-2</v>
      </c>
    </row>
    <row r="14" spans="1:17" ht="17.25" customHeight="1" x14ac:dyDescent="0.2">
      <c r="A14" s="25">
        <v>10</v>
      </c>
      <c r="B14" s="26" t="s">
        <v>7</v>
      </c>
      <c r="C14" s="36">
        <v>5040</v>
      </c>
      <c r="D14" s="36">
        <v>158.36000000000001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/>
      <c r="L14" s="36"/>
      <c r="M14" s="36"/>
      <c r="N14" s="36"/>
      <c r="O14" s="271">
        <f t="shared" si="1"/>
        <v>5198.3599999999997</v>
      </c>
      <c r="P14" s="290">
        <f t="shared" si="0"/>
        <v>3.1122052500308323E-2</v>
      </c>
    </row>
    <row r="15" spans="1:17" ht="17.25" customHeight="1" x14ac:dyDescent="0.2">
      <c r="A15" s="25">
        <v>11</v>
      </c>
      <c r="B15" s="26" t="s">
        <v>8</v>
      </c>
      <c r="C15" s="36">
        <v>7560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/>
      <c r="L15" s="36"/>
      <c r="M15" s="36"/>
      <c r="N15" s="36"/>
      <c r="O15" s="271">
        <f t="shared" si="1"/>
        <v>7560</v>
      </c>
      <c r="P15" s="290">
        <f t="shared" si="0"/>
        <v>4.5260950934973905E-2</v>
      </c>
    </row>
    <row r="16" spans="1:17" ht="17.25" customHeight="1" x14ac:dyDescent="0.2">
      <c r="A16" s="25">
        <v>12</v>
      </c>
      <c r="B16" s="26" t="s">
        <v>9</v>
      </c>
      <c r="C16" s="36">
        <f>750+12600</f>
        <v>13350</v>
      </c>
      <c r="D16" s="36">
        <v>0</v>
      </c>
      <c r="E16" s="36">
        <v>0</v>
      </c>
      <c r="F16" s="36">
        <v>79.180000000000007</v>
      </c>
      <c r="G16" s="36">
        <v>0</v>
      </c>
      <c r="H16" s="36">
        <v>0</v>
      </c>
      <c r="I16" s="36">
        <v>0</v>
      </c>
      <c r="J16" s="36">
        <v>395</v>
      </c>
      <c r="K16" s="36"/>
      <c r="L16" s="36"/>
      <c r="M16" s="36"/>
      <c r="N16" s="36"/>
      <c r="O16" s="271">
        <f t="shared" si="1"/>
        <v>13824.18</v>
      </c>
      <c r="P16" s="290">
        <f t="shared" si="0"/>
        <v>8.2763959351355498E-2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79.180000000000007</v>
      </c>
      <c r="G17" s="36">
        <v>0</v>
      </c>
      <c r="H17" s="36">
        <v>0</v>
      </c>
      <c r="I17" s="36">
        <v>79.180000000000007</v>
      </c>
      <c r="J17" s="36">
        <v>0</v>
      </c>
      <c r="K17" s="36"/>
      <c r="L17" s="36"/>
      <c r="M17" s="36"/>
      <c r="N17" s="36"/>
      <c r="O17" s="271">
        <f t="shared" si="1"/>
        <v>158.36000000000001</v>
      </c>
      <c r="P17" s="290">
        <f t="shared" si="0"/>
        <v>9.480852103257233E-4</v>
      </c>
    </row>
    <row r="18" spans="1:16" ht="17.25" customHeight="1" x14ac:dyDescent="0.2">
      <c r="A18" s="25">
        <v>14</v>
      </c>
      <c r="B18" s="26" t="s">
        <v>11</v>
      </c>
      <c r="C18" s="36">
        <v>2520</v>
      </c>
      <c r="D18" s="36">
        <v>79.180000000000007</v>
      </c>
      <c r="E18" s="36">
        <v>1260</v>
      </c>
      <c r="F18" s="36">
        <f>1008+79.18</f>
        <v>1087.18</v>
      </c>
      <c r="G18" s="36">
        <v>0</v>
      </c>
      <c r="H18" s="36">
        <v>0</v>
      </c>
      <c r="I18" s="36">
        <v>1260</v>
      </c>
      <c r="J18" s="36">
        <v>0</v>
      </c>
      <c r="K18" s="36"/>
      <c r="L18" s="36"/>
      <c r="M18" s="36"/>
      <c r="N18" s="36"/>
      <c r="O18" s="271">
        <f t="shared" si="1"/>
        <v>6206.36</v>
      </c>
      <c r="P18" s="290">
        <f t="shared" si="0"/>
        <v>3.7156845958304846E-2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7560</v>
      </c>
      <c r="F19" s="36">
        <v>0</v>
      </c>
      <c r="G19" s="36">
        <v>181.7</v>
      </c>
      <c r="H19" s="36">
        <v>0</v>
      </c>
      <c r="I19" s="36">
        <v>0</v>
      </c>
      <c r="J19" s="36">
        <v>0</v>
      </c>
      <c r="K19" s="36"/>
      <c r="L19" s="36"/>
      <c r="M19" s="36"/>
      <c r="N19" s="36"/>
      <c r="O19" s="271">
        <f t="shared" si="1"/>
        <v>7741.7</v>
      </c>
      <c r="P19" s="290">
        <f t="shared" si="0"/>
        <v>4.634877035096395E-2</v>
      </c>
    </row>
    <row r="20" spans="1:16" ht="17.25" customHeight="1" x14ac:dyDescent="0.2">
      <c r="A20" s="25">
        <v>16</v>
      </c>
      <c r="B20" s="128" t="s">
        <v>13</v>
      </c>
      <c r="C20" s="36">
        <v>6300</v>
      </c>
      <c r="D20" s="36">
        <v>0</v>
      </c>
      <c r="E20" s="36">
        <v>395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/>
      <c r="L20" s="36"/>
      <c r="M20" s="36"/>
      <c r="N20" s="36"/>
      <c r="O20" s="271">
        <f t="shared" si="1"/>
        <v>6695</v>
      </c>
      <c r="P20" s="290">
        <f t="shared" si="0"/>
        <v>4.0082283929847924E-2</v>
      </c>
    </row>
    <row r="21" spans="1:16" ht="17.25" customHeight="1" x14ac:dyDescent="0.2">
      <c r="A21" s="25">
        <v>17</v>
      </c>
      <c r="B21" s="26" t="s">
        <v>14</v>
      </c>
      <c r="C21" s="36">
        <v>1125</v>
      </c>
      <c r="D21" s="36">
        <v>0</v>
      </c>
      <c r="E21" s="36">
        <v>158.36000000000001</v>
      </c>
      <c r="F21" s="36">
        <f>553.36</f>
        <v>553.36</v>
      </c>
      <c r="G21" s="36">
        <v>395</v>
      </c>
      <c r="H21" s="36">
        <v>0</v>
      </c>
      <c r="I21" s="36">
        <v>375</v>
      </c>
      <c r="J21" s="36">
        <v>750</v>
      </c>
      <c r="K21" s="36"/>
      <c r="L21" s="36"/>
      <c r="M21" s="36"/>
      <c r="N21" s="36"/>
      <c r="O21" s="271">
        <f t="shared" si="1"/>
        <v>3356.7200000000003</v>
      </c>
      <c r="P21" s="290">
        <f t="shared" si="0"/>
        <v>2.0096341166990161E-2</v>
      </c>
    </row>
    <row r="22" spans="1:16" ht="17.25" customHeight="1" x14ac:dyDescent="0.2">
      <c r="A22" s="25">
        <v>18</v>
      </c>
      <c r="B22" s="26" t="s">
        <v>15</v>
      </c>
      <c r="C22" s="36">
        <v>5040</v>
      </c>
      <c r="D22" s="36">
        <v>0</v>
      </c>
      <c r="E22" s="36">
        <v>0</v>
      </c>
      <c r="F22" s="36">
        <v>0</v>
      </c>
      <c r="G22" s="36">
        <v>0</v>
      </c>
      <c r="H22" s="36">
        <v>79.8</v>
      </c>
      <c r="I22" s="36">
        <v>0</v>
      </c>
      <c r="J22" s="36">
        <v>0</v>
      </c>
      <c r="K22" s="36"/>
      <c r="L22" s="36"/>
      <c r="M22" s="36"/>
      <c r="N22" s="36"/>
      <c r="O22" s="271">
        <f t="shared" si="1"/>
        <v>5119.8</v>
      </c>
      <c r="P22" s="290">
        <f t="shared" si="0"/>
        <v>3.0651721772073995E-2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C5+C6+C7+C8+C9+C10+C11+C12+C13+C14+C15+C16+C17+C18+C19+C20+C21+C22</f>
        <v>78625</v>
      </c>
      <c r="D23" s="361">
        <f>D5+D6+D7+D8+D9+D10+D11+D13+D14+D18</f>
        <v>31214.800000000003</v>
      </c>
      <c r="E23" s="361">
        <f>E5+E6+E9+E10+E18+E19+E20+E21</f>
        <v>13786.800000000001</v>
      </c>
      <c r="F23" s="42">
        <f>F5+F6+F7+F8+F9+F10+F11+F12+F13+F14+F15+F16+F17+F18+F19+F20+F21+F22</f>
        <v>18968.900000000001</v>
      </c>
      <c r="G23" s="42">
        <f>G21+G19+G13+G11+G8+G7+G6</f>
        <v>7493.88</v>
      </c>
      <c r="H23" s="42">
        <f>H6+H11+H12+H22</f>
        <v>435.84000000000003</v>
      </c>
      <c r="I23" s="42">
        <f>I21+I18+I17+I13+I6</f>
        <v>5242.18</v>
      </c>
      <c r="J23" s="42">
        <f>J21+J16+J13+J11+J8+J7+J5</f>
        <v>11264</v>
      </c>
      <c r="K23" s="42"/>
      <c r="L23" s="42"/>
      <c r="M23" s="42"/>
      <c r="N23" s="42"/>
      <c r="O23" s="54">
        <f t="shared" si="1"/>
        <v>167031.4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316.72000000000003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f>5040+600</f>
        <v>5640</v>
      </c>
      <c r="J24" s="36">
        <v>0</v>
      </c>
      <c r="K24" s="36"/>
      <c r="L24" s="36"/>
      <c r="M24" s="36"/>
      <c r="N24" s="36"/>
      <c r="O24" s="271">
        <f t="shared" si="1"/>
        <v>5956.72</v>
      </c>
      <c r="P24" s="290">
        <f t="shared" si="0"/>
        <v>3.566227667372722E-2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C23+C24</f>
        <v>78941.72</v>
      </c>
      <c r="D27" s="282">
        <v>31214.799999999999</v>
      </c>
      <c r="E27" s="282">
        <v>13786.8</v>
      </c>
      <c r="F27" s="282">
        <v>18889.72</v>
      </c>
      <c r="G27" s="282">
        <f>G24+G23</f>
        <v>7493.88</v>
      </c>
      <c r="H27" s="282">
        <f>H23</f>
        <v>435.84000000000003</v>
      </c>
      <c r="I27" s="282">
        <f>I24+I23</f>
        <v>10882.18</v>
      </c>
      <c r="J27" s="282"/>
      <c r="K27" s="282"/>
      <c r="L27" s="282"/>
      <c r="M27" s="282"/>
      <c r="N27" s="282"/>
      <c r="O27" s="283">
        <f t="shared" si="1"/>
        <v>161644.94</v>
      </c>
      <c r="P27" s="293">
        <f t="shared" si="0"/>
        <v>0.96775181193476201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7" t="s">
        <v>49</v>
      </c>
      <c r="M29" s="367"/>
      <c r="N29" s="367"/>
      <c r="O29" s="167"/>
      <c r="P29" s="300"/>
    </row>
    <row r="30" spans="1:16" s="114" customFormat="1" ht="18" customHeight="1" x14ac:dyDescent="0.45">
      <c r="A30" s="62"/>
      <c r="B30" s="194"/>
      <c r="G30" s="367" t="s">
        <v>80</v>
      </c>
      <c r="H30" s="367"/>
      <c r="I30" s="367"/>
      <c r="J30" s="15"/>
      <c r="K30" s="15"/>
      <c r="L30" s="367"/>
      <c r="M30" s="367"/>
      <c r="N30" s="367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4" zoomScaleNormal="100" workbookViewId="0">
      <selection activeCell="J25" sqref="J25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27/5/62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11492.75</v>
      </c>
      <c r="I5" s="36">
        <v>0</v>
      </c>
      <c r="J5" s="36">
        <v>0</v>
      </c>
      <c r="K5" s="36"/>
      <c r="L5" s="36"/>
      <c r="M5" s="36"/>
      <c r="N5" s="36"/>
      <c r="O5" s="271">
        <v>0</v>
      </c>
      <c r="P5" s="290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120</v>
      </c>
      <c r="I6" s="36">
        <v>0</v>
      </c>
      <c r="J6" s="36">
        <v>0</v>
      </c>
      <c r="K6" s="36"/>
      <c r="L6" s="36"/>
      <c r="M6" s="36"/>
      <c r="N6" s="36"/>
      <c r="O6" s="271">
        <v>0</v>
      </c>
      <c r="P6" s="290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f>642+642</f>
        <v>1284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/>
      <c r="L7" s="36"/>
      <c r="M7" s="36"/>
      <c r="N7" s="36"/>
      <c r="O7" s="271">
        <v>0</v>
      </c>
      <c r="P7" s="290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/>
      <c r="L8" s="36"/>
      <c r="M8" s="36"/>
      <c r="N8" s="36"/>
      <c r="O8" s="271">
        <v>0</v>
      </c>
      <c r="P8" s="290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642</v>
      </c>
      <c r="G9" s="36">
        <v>0</v>
      </c>
      <c r="H9" s="36">
        <v>4570.1499999999996</v>
      </c>
      <c r="I9" s="36">
        <v>0</v>
      </c>
      <c r="J9" s="36">
        <v>0</v>
      </c>
      <c r="K9" s="36"/>
      <c r="L9" s="36"/>
      <c r="M9" s="36"/>
      <c r="N9" s="36"/>
      <c r="O9" s="271">
        <v>642</v>
      </c>
      <c r="P9" s="290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6542.15</v>
      </c>
      <c r="I10" s="36">
        <v>0</v>
      </c>
      <c r="J10" s="36">
        <v>0</v>
      </c>
      <c r="K10" s="36"/>
      <c r="L10" s="36"/>
      <c r="M10" s="36"/>
      <c r="N10" s="36"/>
      <c r="O10" s="271"/>
      <c r="P10" s="290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/>
      <c r="L11" s="36"/>
      <c r="M11" s="36"/>
      <c r="N11" s="36"/>
      <c r="O11" s="271"/>
      <c r="P11" s="290" t="e">
        <f t="shared" si="0"/>
        <v>#DIV/0!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/>
      <c r="L12" s="36"/>
      <c r="M12" s="36"/>
      <c r="N12" s="36"/>
      <c r="O12" s="271"/>
      <c r="P12" s="290" t="e">
        <f t="shared" si="0"/>
        <v>#DIV/0!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/>
      <c r="L13" s="36"/>
      <c r="M13" s="36"/>
      <c r="N13" s="36"/>
      <c r="O13" s="271"/>
      <c r="P13" s="290" t="e">
        <f t="shared" si="0"/>
        <v>#DIV/0!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/>
      <c r="L14" s="36"/>
      <c r="M14" s="36"/>
      <c r="N14" s="36"/>
      <c r="O14" s="271"/>
      <c r="P14" s="290" t="e">
        <f t="shared" si="0"/>
        <v>#DIV/0!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/>
      <c r="L15" s="36"/>
      <c r="M15" s="36"/>
      <c r="N15" s="36"/>
      <c r="O15" s="271"/>
      <c r="P15" s="290" t="e">
        <f t="shared" si="0"/>
        <v>#DIV/0!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/>
      <c r="L16" s="36"/>
      <c r="M16" s="36"/>
      <c r="N16" s="36"/>
      <c r="O16" s="271"/>
      <c r="P16" s="290" t="e">
        <f t="shared" si="0"/>
        <v>#DIV/0!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/>
      <c r="L17" s="36"/>
      <c r="M17" s="36"/>
      <c r="N17" s="36"/>
      <c r="O17" s="271"/>
      <c r="P17" s="290" t="e">
        <f t="shared" si="0"/>
        <v>#DIV/0!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/>
      <c r="L18" s="36"/>
      <c r="M18" s="36"/>
      <c r="N18" s="36"/>
      <c r="O18" s="271"/>
      <c r="P18" s="290" t="e">
        <f t="shared" si="0"/>
        <v>#DIV/0!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/>
      <c r="L19" s="36"/>
      <c r="M19" s="36"/>
      <c r="N19" s="36"/>
      <c r="O19" s="271"/>
      <c r="P19" s="290" t="e">
        <f t="shared" si="0"/>
        <v>#DIV/0!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/>
      <c r="L20" s="36"/>
      <c r="M20" s="36"/>
      <c r="N20" s="36"/>
      <c r="O20" s="271"/>
      <c r="P20" s="290" t="e">
        <f t="shared" si="0"/>
        <v>#DIV/0!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11142.45</v>
      </c>
      <c r="I21" s="36">
        <v>0</v>
      </c>
      <c r="J21" s="36">
        <v>0</v>
      </c>
      <c r="K21" s="36"/>
      <c r="L21" s="36"/>
      <c r="M21" s="36"/>
      <c r="N21" s="36"/>
      <c r="O21" s="271"/>
      <c r="P21" s="290" t="e">
        <f t="shared" si="0"/>
        <v>#DIV/0!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/>
      <c r="L22" s="36"/>
      <c r="M22" s="36"/>
      <c r="N22" s="36"/>
      <c r="O22" s="271"/>
      <c r="P22" s="290" t="e">
        <f t="shared" si="0"/>
        <v>#DIV/0!</v>
      </c>
    </row>
    <row r="23" spans="1:16" s="48" customFormat="1" ht="17.25" customHeight="1" x14ac:dyDescent="0.2">
      <c r="A23" s="45">
        <v>5.486111111111111E-2</v>
      </c>
      <c r="B23" s="154" t="s">
        <v>22</v>
      </c>
      <c r="C23" s="42">
        <v>0</v>
      </c>
      <c r="D23" s="42">
        <v>1284</v>
      </c>
      <c r="E23" s="42">
        <v>0</v>
      </c>
      <c r="F23" s="42">
        <v>0</v>
      </c>
      <c r="G23" s="42">
        <v>0</v>
      </c>
      <c r="H23" s="361">
        <f>H21+H10+H9+H6+H5</f>
        <v>33867.5</v>
      </c>
      <c r="I23" s="42"/>
      <c r="J23" s="42">
        <v>0</v>
      </c>
      <c r="K23" s="42"/>
      <c r="L23" s="42"/>
      <c r="M23" s="42"/>
      <c r="N23" s="42"/>
      <c r="O23" s="54"/>
      <c r="P23" s="291" t="e">
        <f t="shared" si="0"/>
        <v>#DIV/0!</v>
      </c>
    </row>
    <row r="24" spans="1:16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v>3210</v>
      </c>
      <c r="F24" s="36">
        <v>0</v>
      </c>
      <c r="G24" s="36">
        <v>0</v>
      </c>
      <c r="H24" s="36">
        <v>290</v>
      </c>
      <c r="I24" s="36">
        <v>0</v>
      </c>
      <c r="J24" s="36">
        <v>0</v>
      </c>
      <c r="K24" s="36"/>
      <c r="L24" s="36"/>
      <c r="M24" s="36"/>
      <c r="N24" s="36"/>
      <c r="O24" s="271"/>
      <c r="P24" s="290" t="e">
        <f t="shared" si="0"/>
        <v>#DIV/0!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/>
      <c r="P25" s="290" t="e">
        <f t="shared" si="0"/>
        <v>#DIV/0!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/>
      <c r="P26" s="292" t="e">
        <f t="shared" si="0"/>
        <v>#DIV/0!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v>0</v>
      </c>
      <c r="D27" s="282">
        <v>1284</v>
      </c>
      <c r="E27" s="282">
        <v>3210</v>
      </c>
      <c r="F27" s="282">
        <v>642</v>
      </c>
      <c r="G27" s="282">
        <v>0</v>
      </c>
      <c r="H27" s="363">
        <f>H24+H23</f>
        <v>34157.5</v>
      </c>
      <c r="I27" s="282">
        <v>0</v>
      </c>
      <c r="J27" s="282"/>
      <c r="K27" s="282"/>
      <c r="L27" s="282"/>
      <c r="M27" s="282"/>
      <c r="N27" s="282"/>
      <c r="O27" s="283"/>
      <c r="P27" s="293" t="e">
        <f t="shared" si="0"/>
        <v>#DIV/0!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7" t="s">
        <v>49</v>
      </c>
      <c r="M29" s="367"/>
      <c r="N29" s="367"/>
      <c r="O29" s="167"/>
      <c r="P29" s="300"/>
    </row>
    <row r="30" spans="1:16" s="114" customFormat="1" ht="18" customHeight="1" x14ac:dyDescent="0.45">
      <c r="A30" s="62"/>
      <c r="B30" s="194"/>
      <c r="G30" s="367" t="s">
        <v>80</v>
      </c>
      <c r="H30" s="367"/>
      <c r="I30" s="367"/>
      <c r="J30" s="15"/>
      <c r="K30" s="15"/>
      <c r="L30" s="367"/>
      <c r="M30" s="367"/>
      <c r="N30" s="367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4" workbookViewId="0">
      <selection activeCell="J25" sqref="J25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62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27/5/62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126</v>
      </c>
      <c r="E5" s="36">
        <v>0</v>
      </c>
      <c r="F5" s="36">
        <v>0</v>
      </c>
      <c r="G5" s="36">
        <v>0</v>
      </c>
      <c r="H5" s="36">
        <v>63</v>
      </c>
      <c r="I5" s="36">
        <v>0</v>
      </c>
      <c r="J5" s="36">
        <v>0</v>
      </c>
      <c r="K5" s="36"/>
      <c r="L5" s="36"/>
      <c r="M5" s="36"/>
      <c r="N5" s="36"/>
      <c r="O5" s="271">
        <v>126</v>
      </c>
      <c r="P5" s="290">
        <f t="shared" ref="P5:P27" si="0">O5/$O$23</f>
        <v>0.83443708609271527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/>
      <c r="L6" s="36"/>
      <c r="M6" s="36"/>
      <c r="N6" s="36"/>
      <c r="O6" s="271">
        <v>0</v>
      </c>
      <c r="P6" s="290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25.2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/>
      <c r="L7" s="36"/>
      <c r="M7" s="36"/>
      <c r="N7" s="36"/>
      <c r="O7" s="271">
        <v>25</v>
      </c>
      <c r="P7" s="290">
        <f t="shared" si="0"/>
        <v>0.16556291390728478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/>
      <c r="L8" s="36"/>
      <c r="M8" s="36"/>
      <c r="N8" s="36"/>
      <c r="O8" s="271">
        <v>0</v>
      </c>
      <c r="P8" s="290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/>
      <c r="L9" s="36"/>
      <c r="M9" s="36"/>
      <c r="N9" s="36"/>
      <c r="O9" s="271">
        <v>0</v>
      </c>
      <c r="P9" s="290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/>
      <c r="L10" s="36"/>
      <c r="M10" s="36"/>
      <c r="N10" s="36"/>
      <c r="O10" s="271">
        <v>0</v>
      </c>
      <c r="P10" s="290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/>
      <c r="L11" s="36"/>
      <c r="M11" s="36"/>
      <c r="N11" s="36"/>
      <c r="O11" s="271">
        <v>0</v>
      </c>
      <c r="P11" s="290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/>
      <c r="L12" s="36"/>
      <c r="M12" s="36"/>
      <c r="N12" s="36"/>
      <c r="O12" s="271">
        <v>0</v>
      </c>
      <c r="P12" s="290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/>
      <c r="L13" s="36"/>
      <c r="M13" s="36"/>
      <c r="N13" s="36"/>
      <c r="O13" s="271">
        <v>0</v>
      </c>
      <c r="P13" s="290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/>
      <c r="L14" s="36"/>
      <c r="M14" s="36"/>
      <c r="N14" s="36"/>
      <c r="O14" s="271">
        <v>0</v>
      </c>
      <c r="P14" s="290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/>
      <c r="L15" s="36"/>
      <c r="M15" s="36"/>
      <c r="N15" s="36"/>
      <c r="O15" s="271">
        <v>0</v>
      </c>
      <c r="P15" s="290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/>
      <c r="L16" s="36"/>
      <c r="M16" s="36"/>
      <c r="N16" s="36"/>
      <c r="O16" s="271">
        <v>0</v>
      </c>
      <c r="P16" s="290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92.02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/>
      <c r="L17" s="36"/>
      <c r="M17" s="36"/>
      <c r="N17" s="36"/>
      <c r="O17" s="271">
        <v>92</v>
      </c>
      <c r="P17" s="290">
        <f t="shared" si="0"/>
        <v>0.60927152317880795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/>
      <c r="L18" s="36"/>
      <c r="M18" s="36"/>
      <c r="N18" s="36"/>
      <c r="O18" s="271">
        <v>0</v>
      </c>
      <c r="P18" s="290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/>
      <c r="L19" s="36"/>
      <c r="M19" s="36"/>
      <c r="N19" s="36"/>
      <c r="O19" s="271">
        <v>0</v>
      </c>
      <c r="P19" s="290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/>
      <c r="L20" s="36"/>
      <c r="M20" s="36"/>
      <c r="N20" s="36"/>
      <c r="O20" s="271">
        <v>0</v>
      </c>
      <c r="P20" s="290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/>
      <c r="L21" s="36"/>
      <c r="M21" s="36"/>
      <c r="N21" s="36"/>
      <c r="O21" s="271">
        <v>0</v>
      </c>
      <c r="P21" s="290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/>
      <c r="L22" s="36"/>
      <c r="M22" s="36"/>
      <c r="N22" s="36"/>
      <c r="O22" s="271">
        <v>0</v>
      </c>
      <c r="P22" s="290">
        <f t="shared" si="0"/>
        <v>0</v>
      </c>
    </row>
    <row r="23" spans="1:16" s="48" customFormat="1" ht="17.25" customHeight="1" x14ac:dyDescent="0.2">
      <c r="A23" s="45">
        <v>5.486111111111111E-2</v>
      </c>
      <c r="B23" s="154" t="s">
        <v>22</v>
      </c>
      <c r="C23" s="42">
        <v>0</v>
      </c>
      <c r="D23" s="42">
        <f>D5+D7+D17</f>
        <v>243.21999999999997</v>
      </c>
      <c r="E23" s="42">
        <v>0</v>
      </c>
      <c r="F23" s="42">
        <v>0</v>
      </c>
      <c r="G23" s="42">
        <v>0</v>
      </c>
      <c r="H23" s="42">
        <v>63</v>
      </c>
      <c r="I23" s="42">
        <v>0</v>
      </c>
      <c r="J23" s="42">
        <v>0</v>
      </c>
      <c r="K23" s="42"/>
      <c r="L23" s="42"/>
      <c r="M23" s="42"/>
      <c r="N23" s="42"/>
      <c r="O23" s="54">
        <f>126+25</f>
        <v>151</v>
      </c>
      <c r="P23" s="291">
        <f t="shared" si="0"/>
        <v>1</v>
      </c>
    </row>
    <row r="24" spans="1:16" ht="17.25" customHeight="1" x14ac:dyDescent="0.2">
      <c r="A24" s="30">
        <v>20</v>
      </c>
      <c r="B24" s="31" t="s">
        <v>81</v>
      </c>
      <c r="C24" s="36">
        <v>0</v>
      </c>
      <c r="D24" s="36"/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/>
      <c r="L24" s="36"/>
      <c r="M24" s="36"/>
      <c r="N24" s="36"/>
      <c r="O24" s="271"/>
      <c r="P24" s="290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>
        <v>0</v>
      </c>
      <c r="I25" s="36">
        <v>0</v>
      </c>
      <c r="J25" s="36"/>
      <c r="K25" s="36"/>
      <c r="L25" s="36"/>
      <c r="M25" s="36"/>
      <c r="N25" s="36"/>
      <c r="O25" s="271"/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>
        <v>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/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C23+C26</f>
        <v>0</v>
      </c>
      <c r="D27" s="282">
        <f t="shared" ref="D27:N27" si="1">D23+D26</f>
        <v>243.21999999999997</v>
      </c>
      <c r="E27" s="282">
        <f t="shared" si="1"/>
        <v>0</v>
      </c>
      <c r="F27" s="282">
        <f t="shared" si="1"/>
        <v>0</v>
      </c>
      <c r="G27" s="282">
        <f t="shared" si="1"/>
        <v>0</v>
      </c>
      <c r="H27" s="282">
        <f t="shared" si="1"/>
        <v>63</v>
      </c>
      <c r="I27" s="282">
        <f t="shared" si="1"/>
        <v>0</v>
      </c>
      <c r="J27" s="282">
        <f t="shared" si="1"/>
        <v>0</v>
      </c>
      <c r="K27" s="282">
        <f t="shared" si="1"/>
        <v>0</v>
      </c>
      <c r="L27" s="282">
        <f t="shared" si="1"/>
        <v>0</v>
      </c>
      <c r="M27" s="282">
        <f t="shared" si="1"/>
        <v>0</v>
      </c>
      <c r="N27" s="282">
        <f t="shared" si="1"/>
        <v>0</v>
      </c>
      <c r="O27" s="283">
        <v>151</v>
      </c>
      <c r="P27" s="293">
        <f t="shared" si="0"/>
        <v>1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7" t="s">
        <v>49</v>
      </c>
      <c r="M29" s="367"/>
      <c r="N29" s="367"/>
      <c r="O29" s="167"/>
      <c r="P29" s="300"/>
    </row>
    <row r="30" spans="1:16" s="114" customFormat="1" ht="18" customHeight="1" x14ac:dyDescent="0.45">
      <c r="A30" s="62"/>
      <c r="B30" s="194"/>
      <c r="G30" s="367" t="s">
        <v>80</v>
      </c>
      <c r="H30" s="367"/>
      <c r="I30" s="367"/>
      <c r="J30" s="15"/>
      <c r="K30" s="15"/>
      <c r="L30" s="367"/>
      <c r="M30" s="367"/>
      <c r="N30" s="367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opLeftCell="A5" zoomScale="118" zoomScaleNormal="118" workbookViewId="0">
      <selection activeCell="J28" sqref="J28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301" customWidth="1"/>
    <col min="16" max="16" width="9.875" style="337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2562</v>
      </c>
      <c r="L1" s="68"/>
      <c r="M1" s="68"/>
      <c r="N1" s="68"/>
      <c r="P1" s="334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>รายงานข้อมูลณ วันที่ 27/5/62</v>
      </c>
      <c r="O2" s="71"/>
      <c r="P2" s="334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34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35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16438.15+300+3879.52+5600.6+93.66</f>
        <v>26311.930000000004</v>
      </c>
      <c r="D5" s="36">
        <f>12452.56+905+2985</f>
        <v>16342.56</v>
      </c>
      <c r="E5" s="36">
        <f>11819.77+1463.37+356.41</f>
        <v>13639.55</v>
      </c>
      <c r="F5" s="36">
        <f>158.3+19668.47+200.25+72+2086.5+210</f>
        <v>22395.52</v>
      </c>
      <c r="G5" s="36">
        <f>20690.83+1320+7432.5</f>
        <v>29443.33</v>
      </c>
      <c r="H5" s="36">
        <f>11045.43+2200+402+1840</f>
        <v>15487.43</v>
      </c>
      <c r="I5" s="36">
        <f>23339.35+1020</f>
        <v>24359.35</v>
      </c>
      <c r="J5" s="36">
        <f>20133.86+250</f>
        <v>20383.86</v>
      </c>
      <c r="K5" s="36"/>
      <c r="L5" s="36"/>
      <c r="M5" s="36"/>
      <c r="N5" s="36"/>
      <c r="O5" s="270">
        <f>SUM(C5:N5)</f>
        <v>168363.53000000003</v>
      </c>
      <c r="P5" s="290">
        <f t="shared" ref="P5:P27" si="0">O5/$O$23</f>
        <v>0.13531925310675194</v>
      </c>
    </row>
    <row r="6" spans="1:17" s="27" customFormat="1" ht="18" customHeight="1" x14ac:dyDescent="0.2">
      <c r="A6" s="25">
        <v>2</v>
      </c>
      <c r="B6" s="28" t="s">
        <v>19</v>
      </c>
      <c r="C6" s="35">
        <f>10115.6+1060+93</f>
        <v>11268.6</v>
      </c>
      <c r="D6" s="36">
        <f>14461.1+300+640+3320</f>
        <v>18721.099999999999</v>
      </c>
      <c r="E6" s="36">
        <f>15396.58+250+93</f>
        <v>15739.58</v>
      </c>
      <c r="F6" s="36">
        <f>15396.29+94.98+362.4+1502.28</f>
        <v>17355.95</v>
      </c>
      <c r="G6" s="36">
        <f>11228.34+150+500+399.11+170+64+72+200+160+93</f>
        <v>13036.45</v>
      </c>
      <c r="H6" s="36">
        <f>13833.17+1320+486+250+1000+250</f>
        <v>17139.169999999998</v>
      </c>
      <c r="I6" s="36">
        <f>12050.15+1320+695+410.88</f>
        <v>14476.029999999999</v>
      </c>
      <c r="J6" s="36">
        <f>11673.55+53.5+185</f>
        <v>11912.05</v>
      </c>
      <c r="K6" s="36"/>
      <c r="L6" s="36"/>
      <c r="M6" s="36"/>
      <c r="N6" s="36"/>
      <c r="O6" s="270">
        <f t="shared" ref="O6:O27" si="1">SUM(C6:N6)</f>
        <v>119648.93</v>
      </c>
      <c r="P6" s="290">
        <f t="shared" si="0"/>
        <v>9.6165742323305062E-2</v>
      </c>
    </row>
    <row r="7" spans="1:17" s="27" customFormat="1" ht="18" customHeight="1" x14ac:dyDescent="0.2">
      <c r="A7" s="25">
        <v>3</v>
      </c>
      <c r="B7" s="28" t="s">
        <v>20</v>
      </c>
      <c r="C7" s="35">
        <v>2484.5</v>
      </c>
      <c r="D7" s="36">
        <v>0</v>
      </c>
      <c r="E7" s="36">
        <f>8333.99+1150</f>
        <v>9483.99</v>
      </c>
      <c r="F7" s="36">
        <v>3273.49</v>
      </c>
      <c r="G7" s="36">
        <f>533.7+138+725+33.11+84+84+10637.58+300+1160</f>
        <v>13695.39</v>
      </c>
      <c r="H7" s="36">
        <f>2050+550+695+94.98+150+1995.55</f>
        <v>5535.53</v>
      </c>
      <c r="I7" s="36">
        <v>0</v>
      </c>
      <c r="J7" s="36">
        <f>5082.28+3107.22+1240</f>
        <v>9429.5</v>
      </c>
      <c r="K7" s="36"/>
      <c r="L7" s="36"/>
      <c r="M7" s="36"/>
      <c r="N7" s="36"/>
      <c r="O7" s="270">
        <f t="shared" si="1"/>
        <v>43902.400000000001</v>
      </c>
      <c r="P7" s="290">
        <f t="shared" si="0"/>
        <v>3.5285788897357194E-2</v>
      </c>
    </row>
    <row r="8" spans="1:17" s="27" customFormat="1" ht="18" customHeight="1" x14ac:dyDescent="0.2">
      <c r="A8" s="25">
        <v>4</v>
      </c>
      <c r="B8" s="28" t="s">
        <v>21</v>
      </c>
      <c r="C8" s="35">
        <v>13862.84</v>
      </c>
      <c r="D8" s="36">
        <f>6883.5+8878.08</f>
        <v>15761.58</v>
      </c>
      <c r="E8" s="36">
        <f>4236.74</f>
        <v>4236.74</v>
      </c>
      <c r="F8" s="36">
        <f>2997+1000</f>
        <v>3997</v>
      </c>
      <c r="G8" s="36">
        <f>12534.24+2683.56+7988.28+1320</f>
        <v>24526.079999999998</v>
      </c>
      <c r="H8" s="36">
        <v>11881.91</v>
      </c>
      <c r="I8" s="36">
        <f>11029.63+590</f>
        <v>11619.63</v>
      </c>
      <c r="J8" s="36">
        <f>3914.56+4200+8891.83+168+6791.37+750</f>
        <v>24715.759999999998</v>
      </c>
      <c r="K8" s="36"/>
      <c r="L8" s="36"/>
      <c r="M8" s="36"/>
      <c r="N8" s="36"/>
      <c r="O8" s="270">
        <f t="shared" si="1"/>
        <v>110601.54</v>
      </c>
      <c r="P8" s="290">
        <f t="shared" si="0"/>
        <v>8.8894060282868531E-2</v>
      </c>
    </row>
    <row r="9" spans="1:17" s="27" customFormat="1" ht="18" customHeight="1" x14ac:dyDescent="0.2">
      <c r="A9" s="25">
        <v>5</v>
      </c>
      <c r="B9" s="28" t="s">
        <v>2</v>
      </c>
      <c r="C9" s="35">
        <f>5749.5+585.8+63.32</f>
        <v>6398.62</v>
      </c>
      <c r="D9" s="36">
        <v>10364.549999999999</v>
      </c>
      <c r="E9" s="36">
        <f>5482.03+120</f>
        <v>5602.03</v>
      </c>
      <c r="F9" s="36">
        <f>7757.81+1883.41+4640+150</f>
        <v>14431.220000000001</v>
      </c>
      <c r="G9" s="36">
        <f>9298.2+41</f>
        <v>9339.2000000000007</v>
      </c>
      <c r="H9" s="36">
        <f>2125.92+138+321.6+500+2840</f>
        <v>5925.52</v>
      </c>
      <c r="I9" s="36">
        <v>2877.68</v>
      </c>
      <c r="J9" s="36">
        <f>3369.86+500</f>
        <v>3869.86</v>
      </c>
      <c r="K9" s="36"/>
      <c r="L9" s="36"/>
      <c r="M9" s="36"/>
      <c r="N9" s="36"/>
      <c r="O9" s="270">
        <f t="shared" si="1"/>
        <v>58808.68</v>
      </c>
      <c r="P9" s="290">
        <f t="shared" si="0"/>
        <v>4.7266451670346772E-2</v>
      </c>
    </row>
    <row r="10" spans="1:17" s="27" customFormat="1" ht="18" customHeight="1" x14ac:dyDescent="0.2">
      <c r="A10" s="25">
        <v>6</v>
      </c>
      <c r="B10" s="28" t="s">
        <v>3</v>
      </c>
      <c r="C10" s="35">
        <f>7169.13</f>
        <v>7169.13</v>
      </c>
      <c r="D10" s="36">
        <f>14199.54+275+60</f>
        <v>14534.54</v>
      </c>
      <c r="E10" s="36">
        <v>0</v>
      </c>
      <c r="F10" s="36">
        <f>7334.27+60</f>
        <v>7394.27</v>
      </c>
      <c r="G10" s="36">
        <v>3519.61</v>
      </c>
      <c r="H10" s="36">
        <f>4740</f>
        <v>4740</v>
      </c>
      <c r="I10" s="36">
        <f>2884+155.52</f>
        <v>3039.52</v>
      </c>
      <c r="J10" s="36">
        <f>5061.99+102.5+45+100</f>
        <v>5309.49</v>
      </c>
      <c r="K10" s="36"/>
      <c r="L10" s="36"/>
      <c r="M10" s="36"/>
      <c r="N10" s="36"/>
      <c r="O10" s="270">
        <f t="shared" si="1"/>
        <v>45706.559999999998</v>
      </c>
      <c r="P10" s="290">
        <f t="shared" si="0"/>
        <v>3.6735851055623166E-2</v>
      </c>
    </row>
    <row r="11" spans="1:17" s="27" customFormat="1" ht="18" customHeight="1" x14ac:dyDescent="0.2">
      <c r="A11" s="25">
        <v>7</v>
      </c>
      <c r="B11" s="28" t="s">
        <v>4</v>
      </c>
      <c r="C11" s="35">
        <f>700+1100+3600</f>
        <v>5400</v>
      </c>
      <c r="D11" s="36">
        <f>2870+3470+63.32+3342.5</f>
        <v>9745.82</v>
      </c>
      <c r="E11" s="36">
        <v>2605</v>
      </c>
      <c r="F11" s="36">
        <f>10882.25+348.4+1920+360</f>
        <v>13510.65</v>
      </c>
      <c r="G11" s="36">
        <f>5041.07+420</f>
        <v>5461.07</v>
      </c>
      <c r="H11" s="36">
        <v>800</v>
      </c>
      <c r="I11" s="36">
        <f>2637.75+1510+270</f>
        <v>4417.75</v>
      </c>
      <c r="J11" s="36">
        <f>10261.24</f>
        <v>10261.24</v>
      </c>
      <c r="K11" s="36"/>
      <c r="L11" s="36"/>
      <c r="M11" s="36"/>
      <c r="N11" s="36"/>
      <c r="O11" s="270">
        <f t="shared" si="1"/>
        <v>52201.53</v>
      </c>
      <c r="P11" s="290">
        <f t="shared" si="0"/>
        <v>4.1956070002985221E-2</v>
      </c>
    </row>
    <row r="12" spans="1:17" s="27" customFormat="1" ht="18" customHeight="1" x14ac:dyDescent="0.2">
      <c r="A12" s="25">
        <v>8</v>
      </c>
      <c r="B12" s="28" t="s">
        <v>5</v>
      </c>
      <c r="C12" s="35">
        <f>285+2580</f>
        <v>2865</v>
      </c>
      <c r="D12" s="36">
        <f>43114.73+300</f>
        <v>43414.73</v>
      </c>
      <c r="E12" s="36">
        <f>8262.18+400</f>
        <v>8662.18</v>
      </c>
      <c r="F12" s="36">
        <f>16330.25+420</f>
        <v>16750.25</v>
      </c>
      <c r="G12" s="36">
        <f>1460+543.3</f>
        <v>2003.3</v>
      </c>
      <c r="H12" s="36">
        <f>15519.76+1875+2150+250+497.55+422.65+1415</f>
        <v>22129.960000000003</v>
      </c>
      <c r="I12" s="36">
        <v>2000</v>
      </c>
      <c r="J12" s="36">
        <f>10176.78+1500+250</f>
        <v>11926.78</v>
      </c>
      <c r="K12" s="36"/>
      <c r="L12" s="36"/>
      <c r="M12" s="36"/>
      <c r="N12" s="36"/>
      <c r="O12" s="270">
        <f t="shared" si="1"/>
        <v>109752.20000000001</v>
      </c>
      <c r="P12" s="290">
        <f t="shared" si="0"/>
        <v>8.8211418059616936E-2</v>
      </c>
    </row>
    <row r="13" spans="1:17" s="27" customFormat="1" ht="18" customHeight="1" x14ac:dyDescent="0.2">
      <c r="A13" s="25">
        <v>9</v>
      </c>
      <c r="B13" s="28" t="s">
        <v>6</v>
      </c>
      <c r="C13" s="35">
        <f>9612.16+120+1088.66</f>
        <v>10820.82</v>
      </c>
      <c r="D13" s="36">
        <f>2748.36+4035+333.84+200+560+295+445.12+560</f>
        <v>9177.3200000000015</v>
      </c>
      <c r="E13" s="36">
        <f>10891.06</f>
        <v>10891.06</v>
      </c>
      <c r="F13" s="36">
        <f>4838.78+900+3900.44+360</f>
        <v>9999.2199999999993</v>
      </c>
      <c r="G13" s="36">
        <f>2287.68+26.75+29.5+50+5541.25</f>
        <v>7935.18</v>
      </c>
      <c r="H13" s="36">
        <v>10095.18</v>
      </c>
      <c r="I13" s="36">
        <v>12324.42</v>
      </c>
      <c r="J13" s="36">
        <f>535.33</f>
        <v>535.33000000000004</v>
      </c>
      <c r="K13" s="36"/>
      <c r="L13" s="36"/>
      <c r="M13" s="36"/>
      <c r="N13" s="36"/>
      <c r="O13" s="270">
        <f t="shared" si="1"/>
        <v>71778.53</v>
      </c>
      <c r="P13" s="290">
        <f t="shared" si="0"/>
        <v>5.7690742577686423E-2</v>
      </c>
    </row>
    <row r="14" spans="1:17" s="27" customFormat="1" ht="18" customHeight="1" x14ac:dyDescent="0.2">
      <c r="A14" s="25">
        <v>10</v>
      </c>
      <c r="B14" s="28" t="s">
        <v>7</v>
      </c>
      <c r="C14" s="35">
        <f>3593.06+630+5658</f>
        <v>9881.06</v>
      </c>
      <c r="D14" s="36">
        <f>3521.6+2350.78</f>
        <v>5872.38</v>
      </c>
      <c r="E14" s="36">
        <v>750.35</v>
      </c>
      <c r="F14" s="36">
        <v>6967.94</v>
      </c>
      <c r="G14" s="36">
        <v>780</v>
      </c>
      <c r="H14" s="36">
        <f>9436.62+50+3437.95+63.32+50</f>
        <v>13037.89</v>
      </c>
      <c r="I14" s="36">
        <v>3310</v>
      </c>
      <c r="J14" s="36">
        <v>4685.67</v>
      </c>
      <c r="K14" s="36"/>
      <c r="L14" s="36"/>
      <c r="M14" s="36"/>
      <c r="N14" s="36"/>
      <c r="O14" s="270">
        <f t="shared" si="1"/>
        <v>45285.289999999994</v>
      </c>
      <c r="P14" s="290">
        <f t="shared" si="0"/>
        <v>3.6397262634744354E-2</v>
      </c>
    </row>
    <row r="15" spans="1:17" s="27" customFormat="1" ht="18" customHeight="1" x14ac:dyDescent="0.2">
      <c r="A15" s="25">
        <v>11</v>
      </c>
      <c r="B15" s="28" t="s">
        <v>8</v>
      </c>
      <c r="C15" s="35">
        <v>8735.1200000000008</v>
      </c>
      <c r="D15" s="36">
        <f>5821.65+156</f>
        <v>5977.65</v>
      </c>
      <c r="E15" s="36">
        <v>2373.1</v>
      </c>
      <c r="F15" s="36">
        <f>6821.79+670+2051.81+287.1+6251.84</f>
        <v>16082.54</v>
      </c>
      <c r="G15" s="36">
        <f>1943.32+1671</f>
        <v>3614.3199999999997</v>
      </c>
      <c r="H15" s="36">
        <f>2936.65+240.75+670+1000+150+3969</f>
        <v>8966.4</v>
      </c>
      <c r="I15" s="36">
        <f>8081.1+400+690</f>
        <v>9171.1</v>
      </c>
      <c r="J15" s="36">
        <v>7225.16</v>
      </c>
      <c r="K15" s="36"/>
      <c r="L15" s="36"/>
      <c r="M15" s="36"/>
      <c r="N15" s="36"/>
      <c r="O15" s="270">
        <f t="shared" si="1"/>
        <v>62145.39</v>
      </c>
      <c r="P15" s="290">
        <f t="shared" si="0"/>
        <v>4.9948274182822189E-2</v>
      </c>
    </row>
    <row r="16" spans="1:17" s="27" customFormat="1" ht="18" customHeight="1" x14ac:dyDescent="0.2">
      <c r="A16" s="25">
        <v>12</v>
      </c>
      <c r="B16" s="28" t="s">
        <v>9</v>
      </c>
      <c r="C16" s="35">
        <f>8826.55</f>
        <v>8826.5499999999993</v>
      </c>
      <c r="D16" s="36">
        <v>4362.1000000000004</v>
      </c>
      <c r="E16" s="36">
        <v>7341.31</v>
      </c>
      <c r="F16" s="36">
        <v>3089.36</v>
      </c>
      <c r="G16" s="36">
        <f>4644.1+24.1+26.75+16.05+32.1</f>
        <v>4743.1000000000013</v>
      </c>
      <c r="H16" s="36">
        <f>4494.64+430+398.04+400</f>
        <v>5722.68</v>
      </c>
      <c r="I16" s="36">
        <v>8348.08</v>
      </c>
      <c r="J16" s="36">
        <f>7977.87+250+350+84</f>
        <v>8661.869999999999</v>
      </c>
      <c r="K16" s="36"/>
      <c r="L16" s="36"/>
      <c r="M16" s="36"/>
      <c r="N16" s="36"/>
      <c r="O16" s="270">
        <f t="shared" si="1"/>
        <v>51095.05</v>
      </c>
      <c r="P16" s="290">
        <f t="shared" si="0"/>
        <v>4.1066755986003289E-2</v>
      </c>
    </row>
    <row r="17" spans="1:16" s="27" customFormat="1" ht="18" customHeight="1" x14ac:dyDescent="0.2">
      <c r="A17" s="25">
        <v>13</v>
      </c>
      <c r="B17" s="28" t="s">
        <v>83</v>
      </c>
      <c r="C17" s="35">
        <f>4416+580+425</f>
        <v>5421</v>
      </c>
      <c r="D17" s="36">
        <v>355.44</v>
      </c>
      <c r="E17" s="36">
        <f>9125.08+4904</f>
        <v>14029.08</v>
      </c>
      <c r="F17" s="36">
        <f>8061.39+432+16431.73</f>
        <v>24925.119999999999</v>
      </c>
      <c r="G17" s="36">
        <v>0</v>
      </c>
      <c r="H17" s="36">
        <f>4549.76+1000</f>
        <v>5549.76</v>
      </c>
      <c r="I17" s="36">
        <f>10675.2</f>
        <v>10675.2</v>
      </c>
      <c r="J17" s="36">
        <v>0</v>
      </c>
      <c r="K17" s="36"/>
      <c r="L17" s="36"/>
      <c r="M17" s="36"/>
      <c r="N17" s="36"/>
      <c r="O17" s="270">
        <f t="shared" si="1"/>
        <v>60955.600000000006</v>
      </c>
      <c r="P17" s="290">
        <f t="shared" si="0"/>
        <v>4.8992001205213076E-2</v>
      </c>
    </row>
    <row r="18" spans="1:16" s="27" customFormat="1" ht="18" customHeight="1" x14ac:dyDescent="0.2">
      <c r="A18" s="25">
        <v>14</v>
      </c>
      <c r="B18" s="28" t="s">
        <v>11</v>
      </c>
      <c r="C18" s="35">
        <f>2574+80+2908.2</f>
        <v>5562.2</v>
      </c>
      <c r="D18" s="36">
        <f>7097.82</f>
        <v>7097.82</v>
      </c>
      <c r="E18" s="36">
        <v>1884.8</v>
      </c>
      <c r="F18" s="36">
        <v>5212.5200000000004</v>
      </c>
      <c r="G18" s="36">
        <f>3613.43</f>
        <v>3613.43</v>
      </c>
      <c r="H18" s="36">
        <f>2098+138</f>
        <v>2236</v>
      </c>
      <c r="I18" s="36">
        <v>3201.84</v>
      </c>
      <c r="J18" s="36">
        <f>2165+270+240.12</f>
        <v>2675.12</v>
      </c>
      <c r="K18" s="36"/>
      <c r="L18" s="36"/>
      <c r="M18" s="36"/>
      <c r="N18" s="36"/>
      <c r="O18" s="270">
        <f t="shared" si="1"/>
        <v>31483.73</v>
      </c>
      <c r="P18" s="290">
        <f t="shared" si="0"/>
        <v>2.5304499309408861E-2</v>
      </c>
    </row>
    <row r="19" spans="1:16" s="27" customFormat="1" ht="18" customHeight="1" x14ac:dyDescent="0.2">
      <c r="A19" s="25">
        <v>15</v>
      </c>
      <c r="B19" s="28" t="s">
        <v>12</v>
      </c>
      <c r="C19" s="35">
        <f>8560</f>
        <v>8560</v>
      </c>
      <c r="D19" s="36">
        <v>13027.96</v>
      </c>
      <c r="E19" s="36">
        <f>15490.36+360</f>
        <v>15850.36</v>
      </c>
      <c r="F19" s="36">
        <v>13477.5</v>
      </c>
      <c r="G19" s="36">
        <v>7326.1</v>
      </c>
      <c r="H19" s="36">
        <f>10187.36+78.45</f>
        <v>10265.810000000001</v>
      </c>
      <c r="I19" s="36">
        <f>1000+108.66</f>
        <v>1108.6600000000001</v>
      </c>
      <c r="J19" s="36">
        <f>12945.38</f>
        <v>12945.38</v>
      </c>
      <c r="K19" s="36"/>
      <c r="L19" s="36"/>
      <c r="M19" s="36"/>
      <c r="N19" s="36"/>
      <c r="O19" s="270">
        <f t="shared" si="1"/>
        <v>82561.77</v>
      </c>
      <c r="P19" s="290">
        <f t="shared" si="0"/>
        <v>6.635758380435143E-2</v>
      </c>
    </row>
    <row r="20" spans="1:16" s="27" customFormat="1" ht="18" customHeight="1" x14ac:dyDescent="0.2">
      <c r="A20" s="25">
        <v>16</v>
      </c>
      <c r="B20" s="29" t="s">
        <v>13</v>
      </c>
      <c r="C20" s="35">
        <f>2305+78.45+2240+1633.75</f>
        <v>6257.2</v>
      </c>
      <c r="D20" s="36">
        <v>0</v>
      </c>
      <c r="E20" s="36">
        <f>7420+500+725</f>
        <v>8645</v>
      </c>
      <c r="F20" s="36">
        <f>2944.21+120</f>
        <v>3064.21</v>
      </c>
      <c r="G20" s="36">
        <f>5723.53+928+3463.85+9.08+41</f>
        <v>10165.459999999999</v>
      </c>
      <c r="H20" s="36">
        <v>1598</v>
      </c>
      <c r="I20" s="36">
        <f>5210.33</f>
        <v>5210.33</v>
      </c>
      <c r="J20" s="36">
        <v>2986.54</v>
      </c>
      <c r="K20" s="36"/>
      <c r="L20" s="36"/>
      <c r="M20" s="36"/>
      <c r="N20" s="36"/>
      <c r="O20" s="270">
        <f t="shared" si="1"/>
        <v>37926.74</v>
      </c>
      <c r="P20" s="290">
        <f t="shared" si="0"/>
        <v>3.0482956312296205E-2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4108+3671.12</f>
        <v>7779.12</v>
      </c>
      <c r="D21" s="36">
        <f>5839+60+1675</f>
        <v>7574</v>
      </c>
      <c r="E21" s="36">
        <v>4705.59</v>
      </c>
      <c r="F21" s="36">
        <f>7238.67+1670</f>
        <v>8908.67</v>
      </c>
      <c r="G21" s="36">
        <f>7389.08+153.8</f>
        <v>7542.88</v>
      </c>
      <c r="H21" s="36">
        <f>4225.12+50+4685+119.84</f>
        <v>9079.9599999999991</v>
      </c>
      <c r="I21" s="36">
        <f>4328.78+50</f>
        <v>4378.78</v>
      </c>
      <c r="J21" s="36">
        <f>3730.85+620</f>
        <v>4350.8500000000004</v>
      </c>
      <c r="K21" s="36"/>
      <c r="L21" s="36"/>
      <c r="M21" s="36"/>
      <c r="N21" s="36"/>
      <c r="O21" s="270">
        <f t="shared" si="1"/>
        <v>54319.849999999991</v>
      </c>
      <c r="P21" s="290">
        <f t="shared" si="0"/>
        <v>4.3658632786273827E-2</v>
      </c>
    </row>
    <row r="22" spans="1:16" s="27" customFormat="1" ht="18" customHeight="1" x14ac:dyDescent="0.2">
      <c r="A22" s="25">
        <v>18</v>
      </c>
      <c r="B22" s="28" t="s">
        <v>15</v>
      </c>
      <c r="C22" s="35">
        <f>944.2+320</f>
        <v>1264.2</v>
      </c>
      <c r="D22" s="36">
        <f>569.1+540+750</f>
        <v>1859.1</v>
      </c>
      <c r="E22" s="36">
        <f>11323.75+660</f>
        <v>11983.75</v>
      </c>
      <c r="F22" s="36">
        <f>2421.28+240.75</f>
        <v>2662.03</v>
      </c>
      <c r="G22" s="36">
        <f>7471.19+100</f>
        <v>7571.19</v>
      </c>
      <c r="H22" s="36">
        <v>1690.66</v>
      </c>
      <c r="I22" s="36">
        <f>5963.6+19</f>
        <v>5982.6</v>
      </c>
      <c r="J22" s="36">
        <f>4215.09+429</f>
        <v>4644.09</v>
      </c>
      <c r="K22" s="36"/>
      <c r="L22" s="36"/>
      <c r="M22" s="36"/>
      <c r="N22" s="36"/>
      <c r="O22" s="270">
        <f t="shared" si="1"/>
        <v>37657.619999999995</v>
      </c>
      <c r="P22" s="290">
        <f t="shared" si="0"/>
        <v>3.0266655802345568E-2</v>
      </c>
    </row>
    <row r="23" spans="1:16" s="134" customFormat="1" ht="21.75" customHeight="1" x14ac:dyDescent="0.2">
      <c r="A23" s="45">
        <v>5.4166666666666669E-2</v>
      </c>
      <c r="B23" s="131" t="s">
        <v>22</v>
      </c>
      <c r="C23" s="132">
        <f>C5+C6+C7+C8+C9+C10+C11+C12+C13+C14+C15+C16+C17+C18+C19+C20+C21+C22</f>
        <v>148867.89000000001</v>
      </c>
      <c r="D23" s="133">
        <f>D5+D6+D7+D8+D9+D10+D11+D12+D13+D14+D15+D16+D17+D18+D19+D20+D21+D22</f>
        <v>184188.65000000002</v>
      </c>
      <c r="E23" s="133">
        <f>E5+E6+E7+E8+E9+E22+E21+E20+E19+E18+E17+E16+E15+E14+E13+E12+E11</f>
        <v>138423.47</v>
      </c>
      <c r="F23" s="133">
        <f>F5+F6+F7+F8+F9+F10+F11+F12+F13+F14+F15+F16+F17+F18+F19+F20+F21+F22</f>
        <v>193497.45999999996</v>
      </c>
      <c r="G23" s="133">
        <f>G22+G21+G20+G19+G18+G17+G16+G15+G14+G13+G12+G11+G10+G9+G8+G7+G6+G5</f>
        <v>154316.09</v>
      </c>
      <c r="H23" s="133">
        <f>H22+H21+H20+H19+H18+H17+H16+H15+H14+H13+H12+H11+H10+H9+H8+H7+H6+H5</f>
        <v>151881.85999999999</v>
      </c>
      <c r="I23" s="133">
        <f>I22+I21+I20+I19+I18+I17+I16+I15+I14+I13+I12+I11+I10+I9+I8+I7+I6+I5</f>
        <v>126500.97</v>
      </c>
      <c r="J23" s="133">
        <f>J22+J21+J20+J19+J18+J17+J16+J15+J14+J13+J12+J11+J10+J9+J8+J7+J6+J5</f>
        <v>146518.54999999999</v>
      </c>
      <c r="K23" s="133"/>
      <c r="L23" s="133"/>
      <c r="M23" s="133"/>
      <c r="N23" s="133"/>
      <c r="O23" s="53">
        <f t="shared" si="1"/>
        <v>1244194.94</v>
      </c>
      <c r="P23" s="291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f>139.1+12050.21+7743.24+6375</f>
        <v>26307.55</v>
      </c>
      <c r="D24" s="36">
        <f>2649+3332.1+3537</f>
        <v>9518.1</v>
      </c>
      <c r="E24" s="36">
        <f>29699.83+8350+2375.62</f>
        <v>40425.450000000004</v>
      </c>
      <c r="F24" s="36">
        <f>26106.38+6725+1200+29215+8609.8+520</f>
        <v>72376.180000000008</v>
      </c>
      <c r="G24" s="36">
        <f>36348.73+5500+350+5000+4988+1440+475</f>
        <v>54101.73</v>
      </c>
      <c r="H24" s="36">
        <f>32477.82+5500+840+316.6+7658</f>
        <v>46792.42</v>
      </c>
      <c r="I24" s="36">
        <f>17507.12+10000+915+6294+642</f>
        <v>35358.119999999995</v>
      </c>
      <c r="J24" s="36">
        <f>20092.93+400+1200</f>
        <v>21692.93</v>
      </c>
      <c r="K24" s="36"/>
      <c r="L24" s="36"/>
      <c r="M24" s="36"/>
      <c r="N24" s="36"/>
      <c r="O24" s="270">
        <f t="shared" si="1"/>
        <v>306572.48000000004</v>
      </c>
      <c r="P24" s="290">
        <f t="shared" si="0"/>
        <v>0.24640228805302813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/>
      <c r="L25" s="36"/>
      <c r="M25" s="36"/>
      <c r="N25" s="36"/>
      <c r="O25" s="270">
        <f t="shared" si="1"/>
        <v>0</v>
      </c>
      <c r="P25" s="290">
        <f t="shared" si="0"/>
        <v>0</v>
      </c>
    </row>
    <row r="26" spans="1:16" s="134" customFormat="1" ht="19.5" customHeight="1" x14ac:dyDescent="0.2">
      <c r="A26" s="49" t="s">
        <v>54</v>
      </c>
      <c r="B26" s="136" t="s">
        <v>23</v>
      </c>
      <c r="C26" s="137">
        <f>C24</f>
        <v>26307.55</v>
      </c>
      <c r="D26" s="138">
        <v>9518.1</v>
      </c>
      <c r="E26" s="138">
        <v>40425.449999999997</v>
      </c>
      <c r="F26" s="138">
        <v>71856.179999999993</v>
      </c>
      <c r="G26" s="138">
        <v>53626.73</v>
      </c>
      <c r="H26" s="138">
        <v>46792.42</v>
      </c>
      <c r="I26" s="138">
        <v>28422.12</v>
      </c>
      <c r="J26" s="138">
        <f>21692.93</f>
        <v>21692.93</v>
      </c>
      <c r="K26" s="138"/>
      <c r="L26" s="138"/>
      <c r="M26" s="138"/>
      <c r="N26" s="138"/>
      <c r="O26" s="275">
        <f t="shared" si="1"/>
        <v>298641.48</v>
      </c>
      <c r="P26" s="292">
        <f t="shared" si="0"/>
        <v>0.24002788501936842</v>
      </c>
    </row>
    <row r="27" spans="1:16" s="135" customFormat="1" ht="20.25" customHeight="1" x14ac:dyDescent="0.2">
      <c r="A27" s="156" t="s">
        <v>67</v>
      </c>
      <c r="B27" s="157" t="s">
        <v>25</v>
      </c>
      <c r="C27" s="158">
        <f>C23+C24</f>
        <v>175175.44</v>
      </c>
      <c r="D27" s="159">
        <f>D23+D24</f>
        <v>193706.75000000003</v>
      </c>
      <c r="E27" s="159">
        <f>E23+E24</f>
        <v>178848.92</v>
      </c>
      <c r="F27" s="159">
        <f>F23+F26</f>
        <v>265353.63999999996</v>
      </c>
      <c r="G27" s="159">
        <f>G26+G23</f>
        <v>207942.82</v>
      </c>
      <c r="H27" s="159">
        <f>H23+H24</f>
        <v>198674.27999999997</v>
      </c>
      <c r="I27" s="159">
        <f>I23+I24</f>
        <v>161859.09</v>
      </c>
      <c r="J27" s="159">
        <f>J24+J23</f>
        <v>168211.47999999998</v>
      </c>
      <c r="K27" s="159"/>
      <c r="L27" s="159"/>
      <c r="M27" s="159"/>
      <c r="N27" s="159"/>
      <c r="O27" s="159">
        <f t="shared" si="1"/>
        <v>1549772.4200000002</v>
      </c>
      <c r="P27" s="336">
        <f t="shared" si="0"/>
        <v>1.245602574143245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71</v>
      </c>
      <c r="H30" s="3"/>
      <c r="I30" s="3"/>
      <c r="J30" s="3"/>
      <c r="K30" s="3"/>
      <c r="L30" s="3" t="s">
        <v>49</v>
      </c>
      <c r="M30" s="8"/>
      <c r="O30" s="302"/>
      <c r="P30" s="338"/>
    </row>
    <row r="31" spans="1:16" s="38" customFormat="1" ht="18.75" customHeight="1" x14ac:dyDescent="0.2">
      <c r="C31" s="39"/>
      <c r="F31" s="3"/>
      <c r="G31" s="3" t="s">
        <v>50</v>
      </c>
      <c r="H31" s="3"/>
      <c r="I31" s="3"/>
      <c r="J31" s="3"/>
      <c r="K31" s="3"/>
      <c r="L31" s="3" t="s">
        <v>51</v>
      </c>
      <c r="M31" s="8"/>
      <c r="O31" s="302"/>
      <c r="P31" s="338"/>
    </row>
    <row r="32" spans="1:16" s="38" customFormat="1" ht="19.5" customHeight="1" x14ac:dyDescent="0.2">
      <c r="C32" s="39"/>
      <c r="F32" s="3"/>
      <c r="G32" s="3" t="s">
        <v>52</v>
      </c>
      <c r="H32" s="3"/>
      <c r="I32" s="3"/>
      <c r="J32" s="3"/>
      <c r="K32" s="3"/>
      <c r="L32" s="3" t="s">
        <v>53</v>
      </c>
      <c r="M32" s="8"/>
      <c r="O32" s="302"/>
      <c r="P32" s="338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workbookViewId="0">
      <selection activeCell="J27" sqref="J27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7" customWidth="1"/>
    <col min="16" max="16" width="12.625" style="329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63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2"/>
      <c r="P1" s="321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>รายงานข้อมูลณ วันที่ 27/5/62</v>
      </c>
      <c r="O2" s="165"/>
      <c r="P2" s="321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5"/>
      <c r="P3" s="321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9" t="s">
        <v>39</v>
      </c>
      <c r="P4" s="351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/>
      <c r="L5" s="36"/>
      <c r="M5" s="36"/>
      <c r="N5" s="36"/>
      <c r="O5" s="270"/>
      <c r="P5" s="290" t="e">
        <f t="shared" ref="P5:P27" si="0">O5/$O$23</f>
        <v>#DIV/0!</v>
      </c>
    </row>
    <row r="6" spans="1:17" ht="17.25" customHeight="1" x14ac:dyDescent="0.2">
      <c r="A6" s="25">
        <v>2</v>
      </c>
      <c r="B6" s="28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/>
      <c r="L6" s="36"/>
      <c r="M6" s="36"/>
      <c r="N6" s="36"/>
      <c r="O6" s="270"/>
      <c r="P6" s="290" t="e">
        <f t="shared" si="0"/>
        <v>#DIV/0!</v>
      </c>
    </row>
    <row r="7" spans="1:17" ht="17.25" customHeight="1" x14ac:dyDescent="0.2">
      <c r="A7" s="25">
        <v>3</v>
      </c>
      <c r="B7" s="28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/>
      <c r="L7" s="36"/>
      <c r="M7" s="36"/>
      <c r="N7" s="36"/>
      <c r="O7" s="270"/>
      <c r="P7" s="290" t="e">
        <f t="shared" si="0"/>
        <v>#DIV/0!</v>
      </c>
    </row>
    <row r="8" spans="1:17" ht="17.25" customHeight="1" x14ac:dyDescent="0.2">
      <c r="A8" s="25">
        <v>4</v>
      </c>
      <c r="B8" s="28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/>
      <c r="L8" s="36"/>
      <c r="M8" s="36"/>
      <c r="N8" s="36"/>
      <c r="O8" s="270"/>
      <c r="P8" s="290" t="e">
        <f t="shared" si="0"/>
        <v>#DIV/0!</v>
      </c>
    </row>
    <row r="9" spans="1:17" ht="17.25" customHeight="1" x14ac:dyDescent="0.2">
      <c r="A9" s="25">
        <v>5</v>
      </c>
      <c r="B9" s="28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/>
      <c r="L9" s="36"/>
      <c r="M9" s="36"/>
      <c r="N9" s="36"/>
      <c r="O9" s="270"/>
      <c r="P9" s="290" t="e">
        <f t="shared" si="0"/>
        <v>#DIV/0!</v>
      </c>
    </row>
    <row r="10" spans="1:17" ht="17.25" customHeight="1" x14ac:dyDescent="0.2">
      <c r="A10" s="25">
        <v>6</v>
      </c>
      <c r="B10" s="28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/>
      <c r="L10" s="36"/>
      <c r="M10" s="36"/>
      <c r="N10" s="36"/>
      <c r="O10" s="270"/>
      <c r="P10" s="290" t="e">
        <f t="shared" si="0"/>
        <v>#DIV/0!</v>
      </c>
    </row>
    <row r="11" spans="1:17" ht="17.25" customHeight="1" x14ac:dyDescent="0.2">
      <c r="A11" s="25">
        <v>7</v>
      </c>
      <c r="B11" s="28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/>
      <c r="L11" s="36"/>
      <c r="M11" s="36"/>
      <c r="N11" s="36"/>
      <c r="O11" s="270"/>
      <c r="P11" s="290" t="e">
        <f t="shared" si="0"/>
        <v>#DIV/0!</v>
      </c>
    </row>
    <row r="12" spans="1:17" ht="17.25" customHeight="1" x14ac:dyDescent="0.2">
      <c r="A12" s="25">
        <v>8</v>
      </c>
      <c r="B12" s="28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/>
      <c r="L12" s="36"/>
      <c r="M12" s="36"/>
      <c r="N12" s="36"/>
      <c r="O12" s="270"/>
      <c r="P12" s="290" t="e">
        <f t="shared" si="0"/>
        <v>#DIV/0!</v>
      </c>
    </row>
    <row r="13" spans="1:17" ht="17.25" customHeight="1" x14ac:dyDescent="0.2">
      <c r="A13" s="25">
        <v>9</v>
      </c>
      <c r="B13" s="28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/>
      <c r="L13" s="36"/>
      <c r="M13" s="36"/>
      <c r="N13" s="36"/>
      <c r="O13" s="270"/>
      <c r="P13" s="290" t="e">
        <f t="shared" si="0"/>
        <v>#DIV/0!</v>
      </c>
    </row>
    <row r="14" spans="1:17" ht="17.25" customHeight="1" x14ac:dyDescent="0.2">
      <c r="A14" s="25">
        <v>10</v>
      </c>
      <c r="B14" s="28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/>
      <c r="L14" s="36"/>
      <c r="M14" s="36"/>
      <c r="N14" s="36"/>
      <c r="O14" s="270"/>
      <c r="P14" s="290" t="e">
        <f t="shared" si="0"/>
        <v>#DIV/0!</v>
      </c>
    </row>
    <row r="15" spans="1:17" ht="17.25" customHeight="1" x14ac:dyDescent="0.2">
      <c r="A15" s="25">
        <v>11</v>
      </c>
      <c r="B15" s="28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/>
      <c r="L15" s="36"/>
      <c r="M15" s="36"/>
      <c r="N15" s="36"/>
      <c r="O15" s="270"/>
      <c r="P15" s="290" t="e">
        <f t="shared" si="0"/>
        <v>#DIV/0!</v>
      </c>
    </row>
    <row r="16" spans="1:17" ht="17.25" customHeight="1" x14ac:dyDescent="0.2">
      <c r="A16" s="25">
        <v>12</v>
      </c>
      <c r="B16" s="28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/>
      <c r="L16" s="36"/>
      <c r="M16" s="36"/>
      <c r="N16" s="36"/>
      <c r="O16" s="270"/>
      <c r="P16" s="290" t="e">
        <f t="shared" si="0"/>
        <v>#DIV/0!</v>
      </c>
    </row>
    <row r="17" spans="1:16" ht="17.25" customHeight="1" x14ac:dyDescent="0.2">
      <c r="A17" s="25">
        <v>13</v>
      </c>
      <c r="B17" s="28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/>
      <c r="L17" s="36"/>
      <c r="M17" s="36"/>
      <c r="N17" s="36"/>
      <c r="O17" s="270"/>
      <c r="P17" s="290" t="e">
        <f t="shared" si="0"/>
        <v>#DIV/0!</v>
      </c>
    </row>
    <row r="18" spans="1:16" ht="17.25" customHeight="1" x14ac:dyDescent="0.2">
      <c r="A18" s="25">
        <v>14</v>
      </c>
      <c r="B18" s="28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/>
      <c r="L18" s="36"/>
      <c r="M18" s="36"/>
      <c r="N18" s="36"/>
      <c r="O18" s="270"/>
      <c r="P18" s="290" t="e">
        <f t="shared" si="0"/>
        <v>#DIV/0!</v>
      </c>
    </row>
    <row r="19" spans="1:16" ht="17.25" customHeight="1" x14ac:dyDescent="0.2">
      <c r="A19" s="25">
        <v>15</v>
      </c>
      <c r="B19" s="28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/>
      <c r="L19" s="36"/>
      <c r="M19" s="36"/>
      <c r="N19" s="36"/>
      <c r="O19" s="270"/>
      <c r="P19" s="290" t="e">
        <f t="shared" si="0"/>
        <v>#DIV/0!</v>
      </c>
    </row>
    <row r="20" spans="1:16" ht="17.25" customHeight="1" x14ac:dyDescent="0.2">
      <c r="A20" s="25">
        <v>16</v>
      </c>
      <c r="B20" s="29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/>
      <c r="L20" s="36"/>
      <c r="M20" s="36"/>
      <c r="N20" s="36"/>
      <c r="O20" s="270"/>
      <c r="P20" s="290" t="e">
        <f t="shared" si="0"/>
        <v>#DIV/0!</v>
      </c>
    </row>
    <row r="21" spans="1:16" ht="17.25" customHeight="1" x14ac:dyDescent="0.2">
      <c r="A21" s="25">
        <v>17</v>
      </c>
      <c r="B21" s="28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/>
      <c r="L21" s="36"/>
      <c r="M21" s="36"/>
      <c r="N21" s="36"/>
      <c r="O21" s="270"/>
      <c r="P21" s="290" t="e">
        <f t="shared" si="0"/>
        <v>#DIV/0!</v>
      </c>
    </row>
    <row r="22" spans="1:16" ht="17.25" customHeight="1" x14ac:dyDescent="0.2">
      <c r="A22" s="25">
        <v>18</v>
      </c>
      <c r="B22" s="28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/>
      <c r="L22" s="36"/>
      <c r="M22" s="36"/>
      <c r="N22" s="36"/>
      <c r="O22" s="270"/>
      <c r="P22" s="290" t="e">
        <f t="shared" si="0"/>
        <v>#DIV/0!</v>
      </c>
    </row>
    <row r="23" spans="1:16" ht="17.25" customHeight="1" x14ac:dyDescent="0.2">
      <c r="A23" s="32" t="s">
        <v>66</v>
      </c>
      <c r="B23" s="33" t="s">
        <v>22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/>
      <c r="L23" s="37"/>
      <c r="M23" s="37"/>
      <c r="N23" s="37"/>
      <c r="O23" s="53"/>
      <c r="P23" s="352" t="e">
        <f t="shared" si="0"/>
        <v>#DIV/0!</v>
      </c>
    </row>
    <row r="24" spans="1:16" s="355" customFormat="1" ht="17.25" customHeight="1" x14ac:dyDescent="0.2">
      <c r="A24" s="30">
        <v>19</v>
      </c>
      <c r="B24" s="31" t="s">
        <v>16</v>
      </c>
      <c r="C24" s="353">
        <v>0</v>
      </c>
      <c r="D24" s="353">
        <v>0</v>
      </c>
      <c r="E24" s="353">
        <v>0</v>
      </c>
      <c r="F24" s="353">
        <v>0</v>
      </c>
      <c r="G24" s="353">
        <v>0</v>
      </c>
      <c r="H24" s="353">
        <v>0</v>
      </c>
      <c r="I24" s="353">
        <v>0</v>
      </c>
      <c r="J24" s="353">
        <v>0</v>
      </c>
      <c r="K24" s="353"/>
      <c r="L24" s="353"/>
      <c r="M24" s="353"/>
      <c r="N24" s="353"/>
      <c r="O24" s="354"/>
      <c r="P24" s="339" t="e">
        <f t="shared" si="0"/>
        <v>#DIV/0!</v>
      </c>
    </row>
    <row r="25" spans="1:16" s="355" customFormat="1" ht="17.25" customHeight="1" x14ac:dyDescent="0.2">
      <c r="A25" s="30">
        <v>20</v>
      </c>
      <c r="B25" s="28" t="s">
        <v>17</v>
      </c>
      <c r="C25" s="353">
        <v>0</v>
      </c>
      <c r="D25" s="353">
        <v>0</v>
      </c>
      <c r="E25" s="353">
        <v>0</v>
      </c>
      <c r="F25" s="353">
        <v>0</v>
      </c>
      <c r="G25" s="353">
        <v>0</v>
      </c>
      <c r="H25" s="353">
        <v>0</v>
      </c>
      <c r="I25" s="353">
        <v>0</v>
      </c>
      <c r="J25" s="353">
        <v>0</v>
      </c>
      <c r="K25" s="353"/>
      <c r="L25" s="353"/>
      <c r="M25" s="353"/>
      <c r="N25" s="353"/>
      <c r="O25" s="354"/>
      <c r="P25" s="339" t="e">
        <f t="shared" si="0"/>
        <v>#DIV/0!</v>
      </c>
    </row>
    <row r="26" spans="1:16" ht="17.25" customHeight="1" x14ac:dyDescent="0.2">
      <c r="A26" s="43" t="s">
        <v>54</v>
      </c>
      <c r="B26" s="44" t="s">
        <v>23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/>
      <c r="L26" s="40"/>
      <c r="M26" s="40"/>
      <c r="N26" s="40"/>
      <c r="O26" s="275"/>
      <c r="P26" s="356" t="e">
        <f t="shared" si="0"/>
        <v>#DIV/0!</v>
      </c>
    </row>
    <row r="27" spans="1:16" s="359" customFormat="1" ht="17.25" customHeight="1" x14ac:dyDescent="0.2">
      <c r="A27" s="203" t="s">
        <v>67</v>
      </c>
      <c r="B27" s="219" t="s">
        <v>25</v>
      </c>
      <c r="C27" s="357"/>
      <c r="D27" s="357"/>
      <c r="E27" s="357"/>
      <c r="F27" s="357">
        <v>0</v>
      </c>
      <c r="G27" s="357">
        <v>0</v>
      </c>
      <c r="H27" s="357"/>
      <c r="I27" s="357"/>
      <c r="J27" s="357"/>
      <c r="K27" s="357"/>
      <c r="L27" s="357"/>
      <c r="M27" s="357"/>
      <c r="N27" s="357"/>
      <c r="O27" s="282"/>
      <c r="P27" s="358" t="e">
        <f t="shared" si="0"/>
        <v>#DIV/0!</v>
      </c>
    </row>
    <row r="30" spans="1:16" ht="17.25" customHeight="1" x14ac:dyDescent="0.2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abSelected="1" topLeftCell="A7" zoomScaleNormal="100" workbookViewId="0">
      <selection activeCell="J14" sqref="J14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50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56</v>
      </c>
      <c r="E1" s="88"/>
      <c r="F1" s="88"/>
      <c r="G1" s="88"/>
      <c r="H1" s="88"/>
      <c r="K1" s="87" t="str">
        <f>สรุปยอด!C3</f>
        <v xml:space="preserve"> ปีงบประมาณ   2562</v>
      </c>
      <c r="L1" s="88"/>
      <c r="M1" s="88"/>
      <c r="N1" s="88"/>
      <c r="O1" s="88"/>
      <c r="P1" s="334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>รายงานข้อมูลณ วันที่ 27/5/62</v>
      </c>
      <c r="O2" s="91"/>
      <c r="P2" s="334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34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45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41132.62</f>
        <v>41132.620000000003</v>
      </c>
      <c r="D5" s="92">
        <v>23034</v>
      </c>
      <c r="E5" s="92">
        <v>62018</v>
      </c>
      <c r="F5" s="92">
        <f>13500+37405.91</f>
        <v>50905.91</v>
      </c>
      <c r="G5" s="92">
        <v>40942</v>
      </c>
      <c r="H5" s="92">
        <f>17883+7199.82+5000+15700</f>
        <v>45782.82</v>
      </c>
      <c r="I5" s="92">
        <f>30619+9000</f>
        <v>39619</v>
      </c>
      <c r="J5" s="92">
        <f>3240+135+55935.98+2568</f>
        <v>61878.98</v>
      </c>
      <c r="K5" s="92"/>
      <c r="L5" s="92"/>
      <c r="M5" s="92"/>
      <c r="N5" s="92"/>
      <c r="O5" s="310">
        <f>SUM(C5:N5)</f>
        <v>365313.32999999996</v>
      </c>
      <c r="P5" s="346">
        <f t="shared" ref="P5:P27" si="0">O5/$O$23</f>
        <v>0.19939806034522514</v>
      </c>
    </row>
    <row r="6" spans="1:17" s="20" customFormat="1" ht="19.5" customHeight="1" x14ac:dyDescent="0.2">
      <c r="A6" s="5">
        <v>2</v>
      </c>
      <c r="B6" s="34" t="s">
        <v>19</v>
      </c>
      <c r="C6" s="92">
        <f>7283+1579.2+642</f>
        <v>9504.2000000000007</v>
      </c>
      <c r="D6" s="92">
        <f>28306.2+1799.95</f>
        <v>30106.15</v>
      </c>
      <c r="E6" s="92">
        <f>23067.18+400</f>
        <v>23467.18</v>
      </c>
      <c r="F6" s="92">
        <f>25691.15+2808+642</f>
        <v>29141.15</v>
      </c>
      <c r="G6" s="92">
        <f>290+435+27760.6</f>
        <v>28485.599999999999</v>
      </c>
      <c r="H6" s="92">
        <f>12699.55+6300+660.3</f>
        <v>19659.849999999999</v>
      </c>
      <c r="I6" s="92">
        <v>29519.15</v>
      </c>
      <c r="J6" s="92">
        <f>642+27140+900</f>
        <v>28682</v>
      </c>
      <c r="K6" s="92"/>
      <c r="L6" s="92"/>
      <c r="M6" s="92"/>
      <c r="N6" s="92"/>
      <c r="O6" s="310">
        <f t="shared" ref="O6:O27" si="1">SUM(C6:N6)</f>
        <v>198565.28</v>
      </c>
      <c r="P6" s="346">
        <f t="shared" si="0"/>
        <v>0.10838238967055085</v>
      </c>
    </row>
    <row r="7" spans="1:17" s="20" customFormat="1" ht="19.5" customHeight="1" x14ac:dyDescent="0.2">
      <c r="A7" s="5">
        <v>3</v>
      </c>
      <c r="B7" s="34" t="s">
        <v>20</v>
      </c>
      <c r="C7" s="92">
        <v>0</v>
      </c>
      <c r="D7" s="92">
        <f>6090+299.39+14253-6500</f>
        <v>14142.39</v>
      </c>
      <c r="E7" s="92">
        <f>3797.4+1681.02</f>
        <v>5478.42</v>
      </c>
      <c r="F7" s="92">
        <f>10797.98+1170+4800</f>
        <v>16767.98</v>
      </c>
      <c r="G7" s="92">
        <f>2100+7899.78</f>
        <v>9999.7799999999988</v>
      </c>
      <c r="H7" s="92">
        <f>11633.66+3600+1040</f>
        <v>16273.66</v>
      </c>
      <c r="I7" s="92">
        <v>10387</v>
      </c>
      <c r="J7" s="92">
        <f>18502.66+642+5400</f>
        <v>24544.66</v>
      </c>
      <c r="K7" s="92"/>
      <c r="L7" s="92"/>
      <c r="M7" s="92"/>
      <c r="N7" s="92"/>
      <c r="O7" s="310">
        <f t="shared" si="1"/>
        <v>97593.89</v>
      </c>
      <c r="P7" s="346">
        <f t="shared" si="0"/>
        <v>5.3269428650592268E-2</v>
      </c>
    </row>
    <row r="8" spans="1:17" s="20" customFormat="1" ht="19.5" customHeight="1" x14ac:dyDescent="0.2">
      <c r="A8" s="5">
        <v>4</v>
      </c>
      <c r="B8" s="34" t="s">
        <v>21</v>
      </c>
      <c r="C8" s="92">
        <v>9278.2000000000007</v>
      </c>
      <c r="D8" s="92">
        <v>49590</v>
      </c>
      <c r="E8" s="92">
        <v>331.2</v>
      </c>
      <c r="F8" s="92">
        <f>7020</f>
        <v>7020</v>
      </c>
      <c r="G8" s="92">
        <v>16379</v>
      </c>
      <c r="H8" s="92">
        <v>17709.91</v>
      </c>
      <c r="I8" s="92">
        <f>37500+24220+3600</f>
        <v>65320</v>
      </c>
      <c r="J8" s="92">
        <f>32093+3250</f>
        <v>35343</v>
      </c>
      <c r="K8" s="92"/>
      <c r="L8" s="92"/>
      <c r="M8" s="92"/>
      <c r="N8" s="92"/>
      <c r="O8" s="310">
        <f t="shared" si="1"/>
        <v>200971.31</v>
      </c>
      <c r="P8" s="346">
        <f t="shared" si="0"/>
        <v>0.10969566700191026</v>
      </c>
    </row>
    <row r="9" spans="1:17" s="20" customFormat="1" ht="19.5" customHeight="1" x14ac:dyDescent="0.2">
      <c r="A9" s="5">
        <v>5</v>
      </c>
      <c r="B9" s="34" t="s">
        <v>2</v>
      </c>
      <c r="C9" s="92">
        <f>4574.98+540</f>
        <v>5114.9799999999996</v>
      </c>
      <c r="D9" s="92">
        <v>6694</v>
      </c>
      <c r="E9" s="92">
        <v>9074</v>
      </c>
      <c r="F9" s="92">
        <f>15964.99+7391.99+540</f>
        <v>23896.98</v>
      </c>
      <c r="G9" s="92">
        <f>7260+2700+725</f>
        <v>10685</v>
      </c>
      <c r="H9" s="92">
        <f>3556+2400</f>
        <v>5956</v>
      </c>
      <c r="I9" s="92">
        <f>6105.98+1450</f>
        <v>7555.98</v>
      </c>
      <c r="J9" s="92">
        <v>13008</v>
      </c>
      <c r="K9" s="92"/>
      <c r="L9" s="92"/>
      <c r="M9" s="92"/>
      <c r="N9" s="92"/>
      <c r="O9" s="310">
        <f t="shared" si="1"/>
        <v>81984.94</v>
      </c>
      <c r="P9" s="346">
        <f t="shared" si="0"/>
        <v>4.4749634549387143E-2</v>
      </c>
    </row>
    <row r="10" spans="1:17" s="20" customFormat="1" ht="19.5" customHeight="1" x14ac:dyDescent="0.2">
      <c r="A10" s="5">
        <v>6</v>
      </c>
      <c r="B10" s="34" t="s">
        <v>3</v>
      </c>
      <c r="C10" s="92">
        <f>7709.98+1440+900</f>
        <v>10049.98</v>
      </c>
      <c r="D10" s="92">
        <f>7599.9+8499.99</f>
        <v>16099.89</v>
      </c>
      <c r="E10" s="92">
        <v>9476.98</v>
      </c>
      <c r="F10" s="92">
        <v>5055</v>
      </c>
      <c r="G10" s="92">
        <f>2559</f>
        <v>2559</v>
      </c>
      <c r="H10" s="92">
        <v>3439</v>
      </c>
      <c r="I10" s="92">
        <f>9842.99+1800+1800</f>
        <v>13442.99</v>
      </c>
      <c r="J10" s="92">
        <v>3150</v>
      </c>
      <c r="K10" s="92"/>
      <c r="L10" s="92"/>
      <c r="M10" s="92"/>
      <c r="N10" s="92"/>
      <c r="O10" s="310">
        <f t="shared" si="1"/>
        <v>63272.84</v>
      </c>
      <c r="P10" s="346">
        <f t="shared" si="0"/>
        <v>3.4536055852475399E-2</v>
      </c>
    </row>
    <row r="11" spans="1:17" s="20" customFormat="1" ht="19.5" customHeight="1" x14ac:dyDescent="0.2">
      <c r="A11" s="5">
        <v>7</v>
      </c>
      <c r="B11" s="34" t="s">
        <v>4</v>
      </c>
      <c r="C11" s="92">
        <f>2340+1316</f>
        <v>3656</v>
      </c>
      <c r="D11" s="92">
        <f>1659.97+2880</f>
        <v>4539.97</v>
      </c>
      <c r="E11" s="92">
        <v>4249.95</v>
      </c>
      <c r="F11" s="92">
        <f>1800+13525.95</f>
        <v>15325.95</v>
      </c>
      <c r="G11" s="92">
        <f>11820+1828</f>
        <v>13648</v>
      </c>
      <c r="H11" s="92">
        <v>6599.95</v>
      </c>
      <c r="I11" s="92">
        <v>6475</v>
      </c>
      <c r="J11" s="92">
        <v>18386.2</v>
      </c>
      <c r="K11" s="92"/>
      <c r="L11" s="92"/>
      <c r="M11" s="92"/>
      <c r="N11" s="92"/>
      <c r="O11" s="310">
        <f t="shared" si="1"/>
        <v>72881.02</v>
      </c>
      <c r="P11" s="346">
        <f t="shared" si="0"/>
        <v>3.9780464687619158E-2</v>
      </c>
    </row>
    <row r="12" spans="1:17" s="20" customFormat="1" ht="19.5" customHeight="1" x14ac:dyDescent="0.2">
      <c r="A12" s="5">
        <v>8</v>
      </c>
      <c r="B12" s="34" t="s">
        <v>5</v>
      </c>
      <c r="C12" s="92">
        <f>2770+3600+4800</f>
        <v>11170</v>
      </c>
      <c r="D12" s="92">
        <f>27828.4+2159.34</f>
        <v>29987.74</v>
      </c>
      <c r="E12" s="92">
        <v>19139.95</v>
      </c>
      <c r="F12" s="92">
        <f>13608+16761</f>
        <v>30369</v>
      </c>
      <c r="G12" s="92">
        <f>3649.95+2250+2100+1000</f>
        <v>8999.9500000000007</v>
      </c>
      <c r="H12" s="92">
        <v>10545.95</v>
      </c>
      <c r="I12" s="92">
        <f>3600+1300+2100</f>
        <v>7000</v>
      </c>
      <c r="J12" s="92">
        <f>8338+2500+12396</f>
        <v>23234</v>
      </c>
      <c r="K12" s="92"/>
      <c r="L12" s="92"/>
      <c r="M12" s="92"/>
      <c r="N12" s="92"/>
      <c r="O12" s="310">
        <f t="shared" si="1"/>
        <v>140446.59</v>
      </c>
      <c r="P12" s="346">
        <f t="shared" si="0"/>
        <v>7.6659610609065648E-2</v>
      </c>
    </row>
    <row r="13" spans="1:17" s="20" customFormat="1" ht="19.5" customHeight="1" x14ac:dyDescent="0.2">
      <c r="A13" s="5">
        <v>9</v>
      </c>
      <c r="B13" s="34" t="s">
        <v>6</v>
      </c>
      <c r="C13" s="92">
        <v>7294.99</v>
      </c>
      <c r="D13" s="92">
        <f>4358+1485</f>
        <v>5843</v>
      </c>
      <c r="E13" s="92">
        <v>9667.98</v>
      </c>
      <c r="F13" s="92">
        <v>7467</v>
      </c>
      <c r="G13" s="92">
        <v>3454.99</v>
      </c>
      <c r="H13" s="92">
        <v>7133.99</v>
      </c>
      <c r="I13" s="92">
        <v>9366</v>
      </c>
      <c r="J13" s="92">
        <v>3810</v>
      </c>
      <c r="K13" s="92"/>
      <c r="L13" s="92"/>
      <c r="M13" s="92"/>
      <c r="N13" s="92"/>
      <c r="O13" s="310">
        <f t="shared" si="1"/>
        <v>54037.95</v>
      </c>
      <c r="P13" s="346">
        <f t="shared" si="0"/>
        <v>2.9495398963493229E-2</v>
      </c>
    </row>
    <row r="14" spans="1:17" s="20" customFormat="1" ht="19.5" customHeight="1" x14ac:dyDescent="0.2">
      <c r="A14" s="5">
        <v>10</v>
      </c>
      <c r="B14" s="34" t="s">
        <v>7</v>
      </c>
      <c r="C14" s="92">
        <f>4078+3345+329</f>
        <v>7752</v>
      </c>
      <c r="D14" s="92">
        <v>1108</v>
      </c>
      <c r="E14" s="92">
        <v>4469.9799999999996</v>
      </c>
      <c r="F14" s="92">
        <v>6708</v>
      </c>
      <c r="G14" s="92">
        <v>0</v>
      </c>
      <c r="H14" s="92">
        <f>6634.8+2887.99</f>
        <v>9522.7900000000009</v>
      </c>
      <c r="I14" s="92">
        <v>5912</v>
      </c>
      <c r="J14" s="92">
        <f>7861-392.2</f>
        <v>7468.8</v>
      </c>
      <c r="K14" s="92"/>
      <c r="L14" s="92"/>
      <c r="M14" s="92"/>
      <c r="N14" s="92"/>
      <c r="O14" s="310">
        <f t="shared" si="1"/>
        <v>42941.570000000007</v>
      </c>
      <c r="P14" s="346">
        <f t="shared" si="0"/>
        <v>2.3438689648085691E-2</v>
      </c>
    </row>
    <row r="15" spans="1:17" s="20" customFormat="1" ht="19.5" customHeight="1" x14ac:dyDescent="0.2">
      <c r="A15" s="5">
        <v>11</v>
      </c>
      <c r="B15" s="34" t="s">
        <v>8</v>
      </c>
      <c r="C15" s="92">
        <f>13684.97+4500+987</f>
        <v>19171.97</v>
      </c>
      <c r="D15" s="92">
        <f>4840+360+3600+899.98</f>
        <v>9699.98</v>
      </c>
      <c r="E15" s="92">
        <v>0</v>
      </c>
      <c r="F15" s="92">
        <f>987+18518.95</f>
        <v>19505.95</v>
      </c>
      <c r="G15" s="92">
        <v>14527</v>
      </c>
      <c r="H15" s="92">
        <v>12707.95</v>
      </c>
      <c r="I15" s="92">
        <f>10434+3600+720</f>
        <v>14754</v>
      </c>
      <c r="J15" s="92">
        <f>15039+900+280+810</f>
        <v>17029</v>
      </c>
      <c r="K15" s="92"/>
      <c r="L15" s="92"/>
      <c r="M15" s="92"/>
      <c r="N15" s="92"/>
      <c r="O15" s="310">
        <f t="shared" si="1"/>
        <v>107395.85</v>
      </c>
      <c r="P15" s="346">
        <f t="shared" si="0"/>
        <v>5.8619607938004213E-2</v>
      </c>
    </row>
    <row r="16" spans="1:17" s="20" customFormat="1" ht="19.5" customHeight="1" x14ac:dyDescent="0.2">
      <c r="A16" s="5">
        <v>12</v>
      </c>
      <c r="B16" s="34" t="s">
        <v>9</v>
      </c>
      <c r="C16" s="92">
        <v>4444</v>
      </c>
      <c r="D16" s="92">
        <f>4548+29+180+27</f>
        <v>4784</v>
      </c>
      <c r="E16" s="92">
        <v>4228.99</v>
      </c>
      <c r="F16" s="92">
        <f>4479+500</f>
        <v>4979</v>
      </c>
      <c r="G16" s="92">
        <f>5459+359.99</f>
        <v>5818.99</v>
      </c>
      <c r="H16" s="92">
        <v>4318.99</v>
      </c>
      <c r="I16" s="92">
        <f>5859+1800</f>
        <v>7659</v>
      </c>
      <c r="J16" s="92">
        <v>6552.5</v>
      </c>
      <c r="K16" s="92"/>
      <c r="L16" s="92"/>
      <c r="M16" s="92"/>
      <c r="N16" s="92"/>
      <c r="O16" s="310">
        <f t="shared" si="1"/>
        <v>42785.469999999994</v>
      </c>
      <c r="P16" s="346">
        <f t="shared" si="0"/>
        <v>2.3353485975884922E-2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v>8900</v>
      </c>
      <c r="D17" s="92">
        <v>0</v>
      </c>
      <c r="E17" s="92">
        <v>1629</v>
      </c>
      <c r="F17" s="92">
        <v>18432.39</v>
      </c>
      <c r="G17" s="92">
        <v>0</v>
      </c>
      <c r="H17" s="92">
        <v>23323.58</v>
      </c>
      <c r="I17" s="92">
        <v>21315.02</v>
      </c>
      <c r="J17" s="92">
        <v>0</v>
      </c>
      <c r="K17" s="92"/>
      <c r="L17" s="92"/>
      <c r="M17" s="92"/>
      <c r="N17" s="92"/>
      <c r="O17" s="310">
        <f t="shared" si="1"/>
        <v>73599.990000000005</v>
      </c>
      <c r="P17" s="346">
        <f t="shared" si="0"/>
        <v>4.017289828276447E-2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f>7824+658</f>
        <v>8482</v>
      </c>
      <c r="D18" s="92">
        <v>0</v>
      </c>
      <c r="E18" s="92">
        <v>8294.7900000000009</v>
      </c>
      <c r="F18" s="92">
        <v>1404</v>
      </c>
      <c r="G18" s="92">
        <f>6690+24.1+899.98</f>
        <v>7614.08</v>
      </c>
      <c r="H18" s="92">
        <v>0</v>
      </c>
      <c r="I18" s="92">
        <f>6061.6+900</f>
        <v>6961.6</v>
      </c>
      <c r="J18" s="92">
        <v>0</v>
      </c>
      <c r="K18" s="92"/>
      <c r="L18" s="92"/>
      <c r="M18" s="92"/>
      <c r="N18" s="92"/>
      <c r="O18" s="310">
        <f t="shared" si="1"/>
        <v>32756.47</v>
      </c>
      <c r="P18" s="346">
        <f t="shared" si="0"/>
        <v>1.787938201367182E-2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v>0</v>
      </c>
      <c r="D19" s="92">
        <v>5308</v>
      </c>
      <c r="E19" s="92">
        <v>10559.95</v>
      </c>
      <c r="F19" s="92">
        <v>0</v>
      </c>
      <c r="G19" s="92">
        <v>40007</v>
      </c>
      <c r="H19" s="92">
        <v>11489.95</v>
      </c>
      <c r="I19" s="92">
        <v>0</v>
      </c>
      <c r="J19" s="92">
        <v>37350</v>
      </c>
      <c r="K19" s="92"/>
      <c r="L19" s="92"/>
      <c r="M19" s="92"/>
      <c r="N19" s="92"/>
      <c r="O19" s="310">
        <f t="shared" si="1"/>
        <v>104714.9</v>
      </c>
      <c r="P19" s="346">
        <f t="shared" si="0"/>
        <v>5.7156271711312094E-2</v>
      </c>
    </row>
    <row r="20" spans="1:16" s="20" customFormat="1" ht="19.5" customHeight="1" x14ac:dyDescent="0.2">
      <c r="A20" s="5">
        <v>16</v>
      </c>
      <c r="B20" s="34" t="s">
        <v>13</v>
      </c>
      <c r="C20" s="92">
        <f>4500+7384.98</f>
        <v>11884.98</v>
      </c>
      <c r="D20" s="92">
        <v>0</v>
      </c>
      <c r="E20" s="92">
        <v>2521</v>
      </c>
      <c r="F20" s="92">
        <v>10887.99</v>
      </c>
      <c r="G20" s="92">
        <f>2899.99+4940</f>
        <v>7839.99</v>
      </c>
      <c r="H20" s="92">
        <v>2970</v>
      </c>
      <c r="I20" s="92">
        <f>1576+9039.99</f>
        <v>10615.99</v>
      </c>
      <c r="J20" s="92">
        <v>4370</v>
      </c>
      <c r="K20" s="92"/>
      <c r="L20" s="92"/>
      <c r="M20" s="92"/>
      <c r="N20" s="92"/>
      <c r="O20" s="310">
        <f t="shared" si="1"/>
        <v>51089.95</v>
      </c>
      <c r="P20" s="346">
        <f t="shared" si="0"/>
        <v>2.7886299503865727E-2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v>10327.99</v>
      </c>
      <c r="D21" s="92">
        <f>9708+626.99</f>
        <v>10334.99</v>
      </c>
      <c r="E21" s="92">
        <v>9435.98</v>
      </c>
      <c r="F21" s="92">
        <f>1800+8108.99</f>
        <v>9908.99</v>
      </c>
      <c r="G21" s="92">
        <f>10685.99+145+630</f>
        <v>11460.99</v>
      </c>
      <c r="H21" s="92">
        <f>2268+6525</f>
        <v>8793</v>
      </c>
      <c r="I21" s="92">
        <f>7761.99+1800</f>
        <v>9561.99</v>
      </c>
      <c r="J21" s="92">
        <f>1820+10860</f>
        <v>12680</v>
      </c>
      <c r="K21" s="92"/>
      <c r="L21" s="92"/>
      <c r="M21" s="92"/>
      <c r="N21" s="92"/>
      <c r="O21" s="310">
        <f t="shared" si="1"/>
        <v>82503.929999999993</v>
      </c>
      <c r="P21" s="346">
        <f t="shared" si="0"/>
        <v>4.5032913561786077E-2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4255.9799999999996</v>
      </c>
      <c r="D22" s="92">
        <f>1644</f>
        <v>1644</v>
      </c>
      <c r="E22" s="92">
        <v>0</v>
      </c>
      <c r="F22" s="92">
        <v>5740</v>
      </c>
      <c r="G22" s="92">
        <v>0</v>
      </c>
      <c r="H22" s="92">
        <f>2948.99+83</f>
        <v>3031.99</v>
      </c>
      <c r="I22" s="92">
        <f>2857.4+360+260</f>
        <v>3477.4</v>
      </c>
      <c r="J22" s="92">
        <f>2420+1688</f>
        <v>4108</v>
      </c>
      <c r="K22" s="92"/>
      <c r="L22" s="92"/>
      <c r="M22" s="92"/>
      <c r="N22" s="92"/>
      <c r="O22" s="310">
        <f t="shared" si="1"/>
        <v>22257.37</v>
      </c>
      <c r="P22" s="346">
        <f t="shared" si="0"/>
        <v>1.2148684545362755E-2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96">
        <f>C5+C6+C7+C8+C9+C10+C11+C12+C13+C14+C15+C16+C17+C18+C19+C20+C21+C22</f>
        <v>172419.89</v>
      </c>
      <c r="D23" s="96">
        <f>D5+D6+D7+D8+D9+D10+D11+D12+D13+D14+D15+D16+D17+D18+D19+D20+D21+D22</f>
        <v>212916.11</v>
      </c>
      <c r="E23" s="96">
        <f>E5+E6+E21+E20+E19+E18+E17+E16+E15+E14+E13+E12+E11+E10+E9+E8+E7++E22</f>
        <v>184043.35000000006</v>
      </c>
      <c r="F23" s="96">
        <f>F5+F6+F7+F8+F9+F10+F11+F12+F13+F14+F15+F16+F17+F18+F19+F20+F21+F22</f>
        <v>263515.28999999998</v>
      </c>
      <c r="G23" s="96">
        <f>G5+G6+G7+G8+G9+G10+G11+G12+G13+G14+G15+G16+G17+G18+G19+G20+G21+G22</f>
        <v>222421.36999999997</v>
      </c>
      <c r="H23" s="96">
        <f>H21+H20+H19+H18+H17+H16+H15+H14+H13+H12+H11+H10+H9+H8+H7+H6+H5+H18</f>
        <v>206227.39</v>
      </c>
      <c r="I23" s="96">
        <f>I5+I6+I7+I8+I9+I10+I11+I12+I13+I14+I15+I16+I17+I18+I19+I20+I21+I22</f>
        <v>268942.12</v>
      </c>
      <c r="J23" s="96">
        <f>J5+J6+J7+J8+J9+J10+J11+J12+J13+J14+J15+J16+J17+J18+J19+J20+J21+J22</f>
        <v>301595.14</v>
      </c>
      <c r="K23" s="96"/>
      <c r="L23" s="96"/>
      <c r="M23" s="96"/>
      <c r="N23" s="96"/>
      <c r="O23" s="311">
        <f t="shared" si="1"/>
        <v>1832080.6600000001</v>
      </c>
      <c r="P23" s="347">
        <f t="shared" si="0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>
        <f>5569+2404</f>
        <v>7973</v>
      </c>
      <c r="D24" s="93">
        <f>1926+2159.94</f>
        <v>4085.94</v>
      </c>
      <c r="E24" s="93">
        <v>26394.94</v>
      </c>
      <c r="F24" s="93">
        <f>21847.98+950+2312</f>
        <v>25109.98</v>
      </c>
      <c r="G24" s="93">
        <f>675+18248</f>
        <v>18923</v>
      </c>
      <c r="H24" s="93">
        <v>22221.95</v>
      </c>
      <c r="I24" s="93">
        <f>10979.6+1800</f>
        <v>12779.6</v>
      </c>
      <c r="J24" s="93">
        <f>13559.8+2312</f>
        <v>15871.8</v>
      </c>
      <c r="K24" s="93"/>
      <c r="L24" s="93"/>
      <c r="M24" s="93"/>
      <c r="N24" s="93"/>
      <c r="O24" s="312">
        <f t="shared" si="1"/>
        <v>133360.21</v>
      </c>
      <c r="P24" s="348">
        <f t="shared" si="0"/>
        <v>7.2791669554548966E-2</v>
      </c>
    </row>
    <row r="25" spans="1:16" s="20" customFormat="1" ht="19.5" customHeight="1" x14ac:dyDescent="0.2">
      <c r="A25" s="6">
        <v>20</v>
      </c>
      <c r="B25" s="34" t="s">
        <v>17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/>
      <c r="L25" s="93"/>
      <c r="M25" s="93"/>
      <c r="N25" s="93"/>
      <c r="O25" s="312">
        <f t="shared" si="1"/>
        <v>0</v>
      </c>
      <c r="P25" s="348">
        <f t="shared" si="0"/>
        <v>0</v>
      </c>
    </row>
    <row r="26" spans="1:16" s="52" customFormat="1" ht="21" customHeight="1" x14ac:dyDescent="0.2">
      <c r="A26" s="97" t="s">
        <v>54</v>
      </c>
      <c r="B26" s="98" t="s">
        <v>23</v>
      </c>
      <c r="C26" s="99">
        <v>7973</v>
      </c>
      <c r="D26" s="99">
        <v>4085.94</v>
      </c>
      <c r="E26" s="99">
        <v>26394.94</v>
      </c>
      <c r="F26" s="99">
        <v>25109.98</v>
      </c>
      <c r="G26" s="99">
        <v>18923</v>
      </c>
      <c r="H26" s="99">
        <v>22221.95</v>
      </c>
      <c r="I26" s="99">
        <f>I24</f>
        <v>12779.6</v>
      </c>
      <c r="J26" s="99">
        <v>15871.8</v>
      </c>
      <c r="K26" s="99"/>
      <c r="L26" s="99"/>
      <c r="M26" s="99"/>
      <c r="N26" s="99"/>
      <c r="O26" s="313">
        <f t="shared" si="1"/>
        <v>133360.21</v>
      </c>
      <c r="P26" s="349">
        <f t="shared" si="0"/>
        <v>7.2791669554548966E-2</v>
      </c>
    </row>
    <row r="27" spans="1:16" s="135" customFormat="1" ht="22.5" customHeight="1" x14ac:dyDescent="0.2">
      <c r="A27" s="156" t="s">
        <v>26</v>
      </c>
      <c r="B27" s="160" t="s">
        <v>25</v>
      </c>
      <c r="C27" s="159">
        <f>C23+C24</f>
        <v>180392.89</v>
      </c>
      <c r="D27" s="159">
        <f>4085.94+212961.11</f>
        <v>217047.05</v>
      </c>
      <c r="E27" s="159">
        <f>E26+E23</f>
        <v>210438.29000000007</v>
      </c>
      <c r="F27" s="159">
        <f>F26+F23</f>
        <v>288625.26999999996</v>
      </c>
      <c r="G27" s="159">
        <f>G26+G23</f>
        <v>241344.36999999997</v>
      </c>
      <c r="H27" s="159">
        <f>H23+H24</f>
        <v>228449.34000000003</v>
      </c>
      <c r="I27" s="159">
        <f>I24+I23</f>
        <v>281721.71999999997</v>
      </c>
      <c r="J27" s="159">
        <f>J24+J23</f>
        <v>317466.94</v>
      </c>
      <c r="K27" s="159"/>
      <c r="L27" s="159"/>
      <c r="M27" s="159"/>
      <c r="N27" s="159"/>
      <c r="O27" s="159">
        <f t="shared" si="1"/>
        <v>1965485.8699999999</v>
      </c>
      <c r="P27" s="336">
        <f t="shared" si="0"/>
        <v>1.0728162317918906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64" t="s">
        <v>72</v>
      </c>
      <c r="H30" s="364"/>
      <c r="I30" s="364"/>
      <c r="J30" s="56"/>
      <c r="K30" s="56"/>
      <c r="L30" s="364" t="s">
        <v>49</v>
      </c>
      <c r="M30" s="364"/>
      <c r="N30" s="364"/>
    </row>
    <row r="31" spans="1:16" ht="18.75" customHeight="1" x14ac:dyDescent="0.5">
      <c r="G31" s="56"/>
      <c r="H31" s="56" t="s">
        <v>50</v>
      </c>
      <c r="I31" s="56"/>
      <c r="J31" s="56"/>
      <c r="K31" s="56"/>
      <c r="L31" s="57"/>
      <c r="M31" s="56" t="s">
        <v>51</v>
      </c>
      <c r="N31" s="58"/>
    </row>
    <row r="32" spans="1:16" ht="18.75" customHeight="1" x14ac:dyDescent="0.5">
      <c r="G32" s="56"/>
      <c r="H32" s="57" t="s">
        <v>52</v>
      </c>
      <c r="I32" s="57"/>
      <c r="J32" s="57"/>
      <c r="K32" s="56"/>
      <c r="L32" s="57"/>
      <c r="M32" s="56" t="s">
        <v>53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7" customWidth="1"/>
    <col min="16" max="16" width="9.5" style="341" customWidth="1"/>
    <col min="17" max="16384" width="9" style="114"/>
  </cols>
  <sheetData>
    <row r="1" spans="1:17" s="177" customFormat="1" ht="21" customHeight="1" x14ac:dyDescent="0.45">
      <c r="A1" s="176"/>
      <c r="C1" s="178"/>
      <c r="D1" s="179" t="s">
        <v>64</v>
      </c>
      <c r="E1" s="178"/>
      <c r="F1" s="178"/>
      <c r="G1" s="178"/>
      <c r="H1" s="178"/>
      <c r="K1" s="179" t="s">
        <v>55</v>
      </c>
      <c r="L1" s="178"/>
      <c r="M1" s="178"/>
      <c r="N1" s="178"/>
      <c r="O1" s="178"/>
      <c r="P1" s="340"/>
      <c r="Q1" s="180"/>
    </row>
    <row r="2" spans="1:17" s="177" customFormat="1" ht="21" customHeight="1" x14ac:dyDescent="0.45">
      <c r="A2" s="176"/>
      <c r="C2" s="179" t="str">
        <f>'[1]1.1.ยา(ทั่วไป)'!C2</f>
        <v>จาก ฝ่ายเภสัชกรรมชุมชน  โรงพยาบาลกุมภวาปี</v>
      </c>
      <c r="D2" s="178"/>
      <c r="F2" s="178"/>
      <c r="G2" s="178"/>
      <c r="I2" s="178"/>
      <c r="J2" s="178"/>
      <c r="K2" s="178"/>
      <c r="M2" s="181"/>
      <c r="N2" s="182"/>
      <c r="O2" s="183"/>
      <c r="P2" s="340"/>
      <c r="Q2" s="180"/>
    </row>
    <row r="3" spans="1:17" s="172" customFormat="1" ht="4.5" customHeight="1" x14ac:dyDescent="0.45">
      <c r="O3" s="170"/>
      <c r="P3" s="341"/>
    </row>
    <row r="4" spans="1:17" s="172" customFormat="1" ht="18" customHeight="1" x14ac:dyDescent="0.45">
      <c r="A4" s="173" t="s">
        <v>0</v>
      </c>
      <c r="B4" s="174" t="s">
        <v>1</v>
      </c>
      <c r="C4" s="174" t="s">
        <v>27</v>
      </c>
      <c r="D4" s="174" t="s">
        <v>28</v>
      </c>
      <c r="E4" s="174" t="s">
        <v>29</v>
      </c>
      <c r="F4" s="174" t="s">
        <v>30</v>
      </c>
      <c r="G4" s="174" t="s">
        <v>31</v>
      </c>
      <c r="H4" s="174" t="s">
        <v>32</v>
      </c>
      <c r="I4" s="174" t="s">
        <v>33</v>
      </c>
      <c r="J4" s="174" t="s">
        <v>34</v>
      </c>
      <c r="K4" s="174" t="s">
        <v>35</v>
      </c>
      <c r="L4" s="174" t="s">
        <v>36</v>
      </c>
      <c r="M4" s="174" t="s">
        <v>37</v>
      </c>
      <c r="N4" s="174" t="s">
        <v>38</v>
      </c>
      <c r="O4" s="174" t="s">
        <v>39</v>
      </c>
      <c r="P4" s="342" t="s">
        <v>40</v>
      </c>
    </row>
    <row r="5" spans="1:17" ht="18" customHeight="1" x14ac:dyDescent="0.45">
      <c r="A5" s="116">
        <v>1</v>
      </c>
      <c r="B5" s="117" t="s">
        <v>18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225"/>
      <c r="P5" s="319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225"/>
      <c r="P6" s="319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225"/>
      <c r="P7" s="319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225"/>
      <c r="P8" s="319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225"/>
      <c r="P9" s="319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225"/>
      <c r="P10" s="319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225"/>
      <c r="P11" s="319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225"/>
      <c r="P12" s="319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225"/>
      <c r="P13" s="319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225"/>
      <c r="P14" s="319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225"/>
      <c r="P15" s="319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225"/>
      <c r="P16" s="319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225"/>
      <c r="P17" s="319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225"/>
      <c r="P18" s="319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225"/>
      <c r="P19" s="319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225"/>
      <c r="P20" s="319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225"/>
      <c r="P21" s="319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225"/>
      <c r="P22" s="319" t="e">
        <f t="shared" si="0"/>
        <v>#DIV/0!</v>
      </c>
    </row>
    <row r="23" spans="1:16" s="175" customFormat="1" ht="18" customHeight="1" x14ac:dyDescent="0.45">
      <c r="A23" s="187">
        <v>5.4166666666666669E-2</v>
      </c>
      <c r="B23" s="188" t="s">
        <v>22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307"/>
      <c r="P23" s="320" t="e">
        <f t="shared" si="0"/>
        <v>#DIV/0!</v>
      </c>
    </row>
    <row r="24" spans="1:16" ht="18" customHeight="1" x14ac:dyDescent="0.45">
      <c r="A24" s="120">
        <v>20</v>
      </c>
      <c r="B24" s="185" t="s">
        <v>16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308">
        <f t="shared" ref="O24:O27" si="1">SUM(C24:N24)</f>
        <v>0</v>
      </c>
      <c r="P24" s="343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308">
        <f t="shared" si="1"/>
        <v>0</v>
      </c>
      <c r="P25" s="343" t="e">
        <f t="shared" si="0"/>
        <v>#DIV/0!</v>
      </c>
    </row>
    <row r="26" spans="1:16" s="175" customFormat="1" ht="18" customHeight="1" x14ac:dyDescent="0.45">
      <c r="A26" s="190" t="s">
        <v>24</v>
      </c>
      <c r="B26" s="191" t="s">
        <v>23</v>
      </c>
      <c r="C26" s="192">
        <f>C24+C25</f>
        <v>0</v>
      </c>
      <c r="D26" s="192">
        <f t="shared" ref="D26:N26" si="2">D24+D25</f>
        <v>0</v>
      </c>
      <c r="E26" s="192">
        <f t="shared" si="2"/>
        <v>0</v>
      </c>
      <c r="F26" s="192">
        <f t="shared" si="2"/>
        <v>0</v>
      </c>
      <c r="G26" s="192">
        <f t="shared" si="2"/>
        <v>0</v>
      </c>
      <c r="H26" s="192">
        <f t="shared" si="2"/>
        <v>0</v>
      </c>
      <c r="I26" s="192">
        <f t="shared" si="2"/>
        <v>0</v>
      </c>
      <c r="J26" s="192">
        <f t="shared" si="2"/>
        <v>0</v>
      </c>
      <c r="K26" s="192">
        <f t="shared" si="2"/>
        <v>0</v>
      </c>
      <c r="L26" s="192">
        <f t="shared" si="2"/>
        <v>0</v>
      </c>
      <c r="M26" s="192">
        <f t="shared" si="2"/>
        <v>0</v>
      </c>
      <c r="N26" s="192">
        <f t="shared" si="2"/>
        <v>0</v>
      </c>
      <c r="O26" s="309">
        <f t="shared" si="1"/>
        <v>0</v>
      </c>
      <c r="P26" s="324" t="e">
        <f t="shared" si="0"/>
        <v>#DIV/0!</v>
      </c>
    </row>
    <row r="27" spans="1:16" s="212" customFormat="1" ht="18" customHeight="1" x14ac:dyDescent="0.45">
      <c r="A27" s="210" t="s">
        <v>26</v>
      </c>
      <c r="B27" s="211" t="s">
        <v>25</v>
      </c>
      <c r="C27" s="206">
        <f>C23+C26</f>
        <v>0</v>
      </c>
      <c r="D27" s="206">
        <f t="shared" ref="D27:N27" si="3">D23+D26</f>
        <v>0</v>
      </c>
      <c r="E27" s="206">
        <f t="shared" si="3"/>
        <v>0</v>
      </c>
      <c r="F27" s="206">
        <f t="shared" si="3"/>
        <v>0</v>
      </c>
      <c r="G27" s="206">
        <f t="shared" si="3"/>
        <v>0</v>
      </c>
      <c r="H27" s="206">
        <f t="shared" si="3"/>
        <v>0</v>
      </c>
      <c r="I27" s="206">
        <f t="shared" si="3"/>
        <v>0</v>
      </c>
      <c r="J27" s="206">
        <f t="shared" si="3"/>
        <v>0</v>
      </c>
      <c r="K27" s="206">
        <f t="shared" si="3"/>
        <v>0</v>
      </c>
      <c r="L27" s="206">
        <f t="shared" si="3"/>
        <v>0</v>
      </c>
      <c r="M27" s="206">
        <f t="shared" si="3"/>
        <v>0</v>
      </c>
      <c r="N27" s="206">
        <f t="shared" si="3"/>
        <v>0</v>
      </c>
      <c r="O27" s="206">
        <f t="shared" si="1"/>
        <v>0</v>
      </c>
      <c r="P27" s="344" t="e">
        <f t="shared" si="0"/>
        <v>#DIV/0!</v>
      </c>
    </row>
    <row r="30" spans="1:16" ht="18" customHeight="1" x14ac:dyDescent="0.45">
      <c r="G30" s="15"/>
      <c r="H30" s="16" t="s">
        <v>48</v>
      </c>
      <c r="I30" s="15"/>
      <c r="J30" s="15"/>
      <c r="K30" s="15"/>
      <c r="L30" s="17"/>
      <c r="M30" s="15" t="s">
        <v>49</v>
      </c>
      <c r="N30" s="18"/>
    </row>
    <row r="31" spans="1:16" ht="18" customHeight="1" x14ac:dyDescent="0.45"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</row>
    <row r="32" spans="1:16" ht="18" customHeight="1" x14ac:dyDescent="0.45"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zoomScaleNormal="100" workbookViewId="0">
      <selection activeCell="J28" sqref="J28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4" customWidth="1"/>
    <col min="16" max="16" width="14.5" style="329" customWidth="1"/>
    <col min="17" max="16384" width="9" style="27"/>
  </cols>
  <sheetData>
    <row r="1" spans="1:17" s="68" customFormat="1" ht="19.5" customHeight="1" x14ac:dyDescent="0.2">
      <c r="A1" s="80"/>
      <c r="B1" s="81"/>
      <c r="C1" s="148"/>
      <c r="D1" s="149" t="s">
        <v>65</v>
      </c>
      <c r="E1" s="148"/>
      <c r="F1" s="148"/>
      <c r="G1" s="148"/>
      <c r="H1" s="148"/>
      <c r="I1" s="67"/>
      <c r="J1" s="67"/>
      <c r="K1" s="149" t="str">
        <f>สรุปยอด!C3</f>
        <v xml:space="preserve"> ปีงบประมาณ   2562</v>
      </c>
      <c r="L1" s="148"/>
      <c r="M1" s="148"/>
      <c r="N1" s="148"/>
      <c r="O1" s="148"/>
      <c r="P1" s="328"/>
      <c r="Q1" s="83"/>
    </row>
    <row r="2" spans="1:17" s="68" customFormat="1" ht="19.5" customHeight="1" x14ac:dyDescent="0.2">
      <c r="A2" s="80"/>
      <c r="B2" s="81"/>
      <c r="C2" s="149" t="str">
        <f>'[1]1.1.ยา(ทั่วไป)'!C2</f>
        <v>จาก ฝ่ายเภสัชกรรมชุมชน  โรงพยาบาลกุมภวาปี</v>
      </c>
      <c r="D2" s="148"/>
      <c r="E2" s="67"/>
      <c r="F2" s="148"/>
      <c r="G2" s="148"/>
      <c r="H2" s="67"/>
      <c r="I2" s="148"/>
      <c r="J2" s="148"/>
      <c r="K2" s="148"/>
      <c r="L2" s="67"/>
      <c r="M2" s="150"/>
      <c r="N2" s="151" t="str">
        <f>สรุปยอด!D4</f>
        <v>รายงานข้อมูลณ วันที่ 27/5/62</v>
      </c>
      <c r="O2" s="148"/>
      <c r="P2" s="328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9" t="s">
        <v>39</v>
      </c>
      <c r="P4" s="323" t="s">
        <v>40</v>
      </c>
    </row>
    <row r="5" spans="1:17" ht="18" customHeight="1" x14ac:dyDescent="0.2">
      <c r="A5" s="25">
        <v>1</v>
      </c>
      <c r="B5" s="26" t="s">
        <v>18</v>
      </c>
      <c r="C5" s="129">
        <v>7436.87</v>
      </c>
      <c r="D5" s="129">
        <v>7023.03</v>
      </c>
      <c r="E5" s="129">
        <v>6739.57</v>
      </c>
      <c r="F5" s="129">
        <v>0</v>
      </c>
      <c r="G5" s="129">
        <v>9162.76</v>
      </c>
      <c r="H5" s="129">
        <v>11427.36</v>
      </c>
      <c r="I5" s="129">
        <v>8073.31</v>
      </c>
      <c r="J5" s="129">
        <v>7567.44</v>
      </c>
      <c r="K5" s="129"/>
      <c r="L5" s="129"/>
      <c r="M5" s="129"/>
      <c r="N5" s="129"/>
      <c r="O5" s="303">
        <f>SUM(C5:N5)</f>
        <v>57430.340000000004</v>
      </c>
      <c r="P5" s="290">
        <f t="shared" ref="P5:P27" si="0">O5/$O$23</f>
        <v>6.630268635351827E-2</v>
      </c>
    </row>
    <row r="6" spans="1:17" ht="18" customHeight="1" x14ac:dyDescent="0.2">
      <c r="A6" s="25">
        <v>2</v>
      </c>
      <c r="B6" s="26" t="s">
        <v>19</v>
      </c>
      <c r="C6" s="129">
        <v>5119.08</v>
      </c>
      <c r="D6" s="129">
        <v>3785.39</v>
      </c>
      <c r="E6" s="129">
        <v>4855.57</v>
      </c>
      <c r="F6" s="129">
        <v>2269.02</v>
      </c>
      <c r="G6" s="129">
        <v>7871.63</v>
      </c>
      <c r="H6" s="129">
        <v>5018.12</v>
      </c>
      <c r="I6" s="129">
        <v>6422.87</v>
      </c>
      <c r="J6" s="129">
        <v>6275.12</v>
      </c>
      <c r="K6" s="129"/>
      <c r="L6" s="129"/>
      <c r="M6" s="129"/>
      <c r="N6" s="129"/>
      <c r="O6" s="303">
        <f t="shared" ref="O6:O27" si="1">SUM(C6:N6)</f>
        <v>41616.800000000003</v>
      </c>
      <c r="P6" s="290">
        <f t="shared" si="0"/>
        <v>4.804613097253297E-2</v>
      </c>
    </row>
    <row r="7" spans="1:17" ht="18" customHeight="1" x14ac:dyDescent="0.2">
      <c r="A7" s="25">
        <v>3</v>
      </c>
      <c r="B7" s="26" t="s">
        <v>20</v>
      </c>
      <c r="C7" s="129">
        <v>2677.68</v>
      </c>
      <c r="D7" s="129">
        <v>2430.6999999999998</v>
      </c>
      <c r="E7" s="129">
        <v>2468.86</v>
      </c>
      <c r="F7" s="129">
        <v>4388.72</v>
      </c>
      <c r="G7" s="129">
        <v>2978.31</v>
      </c>
      <c r="H7" s="129">
        <v>8112.42</v>
      </c>
      <c r="I7" s="129">
        <v>5020.7299999999996</v>
      </c>
      <c r="J7" s="129">
        <v>1516.73</v>
      </c>
      <c r="K7" s="129"/>
      <c r="L7" s="129"/>
      <c r="M7" s="129"/>
      <c r="N7" s="129"/>
      <c r="O7" s="303">
        <f t="shared" si="1"/>
        <v>29594.149999999998</v>
      </c>
      <c r="P7" s="290">
        <f t="shared" si="0"/>
        <v>3.4166115773456546E-2</v>
      </c>
    </row>
    <row r="8" spans="1:17" ht="18" customHeight="1" x14ac:dyDescent="0.2">
      <c r="A8" s="25">
        <v>4</v>
      </c>
      <c r="B8" s="26" t="s">
        <v>21</v>
      </c>
      <c r="C8" s="129">
        <f>11438.97+143388.72</f>
        <v>154827.69</v>
      </c>
      <c r="D8" s="129">
        <v>10155.93</v>
      </c>
      <c r="E8" s="129">
        <v>8514.3700000000008</v>
      </c>
      <c r="F8" s="129">
        <v>12586.51</v>
      </c>
      <c r="G8" s="129">
        <v>8834.07</v>
      </c>
      <c r="H8" s="129">
        <v>14064.47</v>
      </c>
      <c r="I8" s="129">
        <v>8722.18</v>
      </c>
      <c r="J8" s="129">
        <v>8301.9599999999991</v>
      </c>
      <c r="K8" s="129"/>
      <c r="L8" s="129"/>
      <c r="M8" s="129"/>
      <c r="N8" s="129"/>
      <c r="O8" s="303">
        <f t="shared" si="1"/>
        <v>226007.18</v>
      </c>
      <c r="P8" s="290">
        <f t="shared" si="0"/>
        <v>0.26092276607074144</v>
      </c>
    </row>
    <row r="9" spans="1:17" ht="18" customHeight="1" x14ac:dyDescent="0.2">
      <c r="A9" s="25">
        <v>5</v>
      </c>
      <c r="B9" s="26" t="s">
        <v>2</v>
      </c>
      <c r="C9" s="129">
        <v>1661.04</v>
      </c>
      <c r="D9" s="129">
        <v>4905.01</v>
      </c>
      <c r="E9" s="129">
        <v>0</v>
      </c>
      <c r="F9" s="129">
        <v>13790.7</v>
      </c>
      <c r="G9" s="129">
        <v>0</v>
      </c>
      <c r="H9" s="129">
        <v>6752.32</v>
      </c>
      <c r="I9" s="129">
        <v>3850.84</v>
      </c>
      <c r="J9" s="129">
        <v>10173.870000000001</v>
      </c>
      <c r="K9" s="129"/>
      <c r="L9" s="129"/>
      <c r="M9" s="129"/>
      <c r="N9" s="129"/>
      <c r="O9" s="303">
        <f t="shared" si="1"/>
        <v>41133.78</v>
      </c>
      <c r="P9" s="290">
        <f t="shared" si="0"/>
        <v>4.7488489775171498E-2</v>
      </c>
    </row>
    <row r="10" spans="1:17" ht="18" customHeight="1" x14ac:dyDescent="0.2">
      <c r="A10" s="25">
        <v>6</v>
      </c>
      <c r="B10" s="26" t="s">
        <v>3</v>
      </c>
      <c r="C10" s="129">
        <f>8945.28</f>
        <v>8945.2800000000007</v>
      </c>
      <c r="D10" s="129">
        <v>6631.16</v>
      </c>
      <c r="E10" s="129">
        <v>3679.83</v>
      </c>
      <c r="F10" s="129">
        <v>3151.72</v>
      </c>
      <c r="G10" s="129">
        <v>3432.31</v>
      </c>
      <c r="H10" s="129">
        <v>4478.3900000000003</v>
      </c>
      <c r="I10" s="129">
        <v>10891.32</v>
      </c>
      <c r="J10" s="129">
        <v>3739.07</v>
      </c>
      <c r="K10" s="129"/>
      <c r="L10" s="129"/>
      <c r="M10" s="129"/>
      <c r="N10" s="129"/>
      <c r="O10" s="303">
        <f t="shared" si="1"/>
        <v>44949.08</v>
      </c>
      <c r="P10" s="290">
        <f t="shared" si="0"/>
        <v>5.1893211029556872E-2</v>
      </c>
    </row>
    <row r="11" spans="1:17" ht="18" customHeight="1" x14ac:dyDescent="0.2">
      <c r="A11" s="25">
        <v>7</v>
      </c>
      <c r="B11" s="26" t="s">
        <v>4</v>
      </c>
      <c r="C11" s="129">
        <v>0</v>
      </c>
      <c r="D11" s="129">
        <v>1584.22</v>
      </c>
      <c r="E11" s="129">
        <v>1186.3599999999999</v>
      </c>
      <c r="F11" s="129">
        <v>5827.65</v>
      </c>
      <c r="G11" s="129">
        <v>3483.71</v>
      </c>
      <c r="H11" s="129">
        <v>3603.95</v>
      </c>
      <c r="I11" s="129">
        <v>2500.1999999999998</v>
      </c>
      <c r="J11" s="129">
        <v>3974.25</v>
      </c>
      <c r="K11" s="129"/>
      <c r="L11" s="129"/>
      <c r="M11" s="129"/>
      <c r="N11" s="129"/>
      <c r="O11" s="303">
        <f t="shared" si="1"/>
        <v>22160.34</v>
      </c>
      <c r="P11" s="290">
        <f t="shared" si="0"/>
        <v>2.5583865122639445E-2</v>
      </c>
    </row>
    <row r="12" spans="1:17" ht="18" customHeight="1" x14ac:dyDescent="0.2">
      <c r="A12" s="25">
        <v>8</v>
      </c>
      <c r="B12" s="26" t="s">
        <v>5</v>
      </c>
      <c r="C12" s="129">
        <v>4651.51</v>
      </c>
      <c r="D12" s="129">
        <v>8826.84</v>
      </c>
      <c r="E12" s="129">
        <v>11435.46</v>
      </c>
      <c r="F12" s="129">
        <v>7698.39</v>
      </c>
      <c r="G12" s="129">
        <v>9680.17</v>
      </c>
      <c r="H12" s="129">
        <v>9040.33</v>
      </c>
      <c r="I12" s="129">
        <v>5277.34</v>
      </c>
      <c r="J12" s="129">
        <v>5360.29</v>
      </c>
      <c r="K12" s="129"/>
      <c r="L12" s="129"/>
      <c r="M12" s="129"/>
      <c r="N12" s="129"/>
      <c r="O12" s="303">
        <f t="shared" si="1"/>
        <v>61970.329999999994</v>
      </c>
      <c r="P12" s="290">
        <f t="shared" si="0"/>
        <v>7.1544054122159528E-2</v>
      </c>
    </row>
    <row r="13" spans="1:17" ht="18" customHeight="1" x14ac:dyDescent="0.2">
      <c r="A13" s="25">
        <v>9</v>
      </c>
      <c r="B13" s="26" t="s">
        <v>6</v>
      </c>
      <c r="C13" s="129">
        <f>2496.7+3634.02</f>
        <v>6130.7199999999993</v>
      </c>
      <c r="D13" s="129">
        <v>4788.4799999999996</v>
      </c>
      <c r="E13" s="129">
        <v>4751.92</v>
      </c>
      <c r="F13" s="129">
        <v>4382.2700000000004</v>
      </c>
      <c r="G13" s="129">
        <v>3858.6</v>
      </c>
      <c r="H13" s="129">
        <v>0</v>
      </c>
      <c r="I13" s="129">
        <v>4979.87</v>
      </c>
      <c r="J13" s="129">
        <v>4528.53</v>
      </c>
      <c r="K13" s="129"/>
      <c r="L13" s="129"/>
      <c r="M13" s="129"/>
      <c r="N13" s="129"/>
      <c r="O13" s="303">
        <f t="shared" si="1"/>
        <v>33420.39</v>
      </c>
      <c r="P13" s="290">
        <f t="shared" si="0"/>
        <v>3.8583467135703153E-2</v>
      </c>
    </row>
    <row r="14" spans="1:17" ht="18" customHeight="1" x14ac:dyDescent="0.2">
      <c r="A14" s="25">
        <v>10</v>
      </c>
      <c r="B14" s="26" t="s">
        <v>7</v>
      </c>
      <c r="C14" s="129">
        <v>2848.86</v>
      </c>
      <c r="D14" s="129">
        <v>8916.1</v>
      </c>
      <c r="E14" s="129">
        <v>3748.14</v>
      </c>
      <c r="F14" s="129">
        <v>2454.64</v>
      </c>
      <c r="G14" s="129">
        <v>3122.4</v>
      </c>
      <c r="H14" s="129">
        <v>3776.16</v>
      </c>
      <c r="I14" s="129">
        <v>5965.52</v>
      </c>
      <c r="J14" s="129">
        <v>0</v>
      </c>
      <c r="K14" s="129"/>
      <c r="L14" s="129"/>
      <c r="M14" s="129"/>
      <c r="N14" s="129"/>
      <c r="O14" s="303">
        <f t="shared" si="1"/>
        <v>30831.820000000003</v>
      </c>
      <c r="P14" s="290">
        <f t="shared" si="0"/>
        <v>3.559499197058788E-2</v>
      </c>
    </row>
    <row r="15" spans="1:17" ht="18" customHeight="1" x14ac:dyDescent="0.2">
      <c r="A15" s="25">
        <v>11</v>
      </c>
      <c r="B15" s="26" t="s">
        <v>8</v>
      </c>
      <c r="C15" s="129">
        <v>2940.63</v>
      </c>
      <c r="D15" s="129">
        <v>5113.22</v>
      </c>
      <c r="E15" s="129">
        <v>1096.94</v>
      </c>
      <c r="F15" s="129">
        <v>8335.0499999999993</v>
      </c>
      <c r="G15" s="129">
        <v>2232.27</v>
      </c>
      <c r="H15" s="129">
        <v>2744.85</v>
      </c>
      <c r="I15" s="129">
        <v>3279.5</v>
      </c>
      <c r="J15" s="129">
        <v>2488.35</v>
      </c>
      <c r="K15" s="129"/>
      <c r="L15" s="129"/>
      <c r="M15" s="129"/>
      <c r="N15" s="129"/>
      <c r="O15" s="303">
        <f t="shared" si="1"/>
        <v>28230.809999999998</v>
      </c>
      <c r="P15" s="290">
        <f t="shared" si="0"/>
        <v>3.2592154964357987E-2</v>
      </c>
    </row>
    <row r="16" spans="1:17" ht="18" customHeight="1" x14ac:dyDescent="0.2">
      <c r="A16" s="25">
        <v>12</v>
      </c>
      <c r="B16" s="26" t="s">
        <v>9</v>
      </c>
      <c r="C16" s="129">
        <f>5000.04+4193.1</f>
        <v>9193.14</v>
      </c>
      <c r="D16" s="129">
        <v>0</v>
      </c>
      <c r="E16" s="129">
        <f>4162.92+2178.95</f>
        <v>6341.87</v>
      </c>
      <c r="F16" s="129">
        <v>3229.91</v>
      </c>
      <c r="G16" s="129">
        <v>3752.78</v>
      </c>
      <c r="H16" s="129">
        <v>6882.76</v>
      </c>
      <c r="I16" s="129">
        <v>4253.7299999999996</v>
      </c>
      <c r="J16" s="129">
        <v>3296.19</v>
      </c>
      <c r="K16" s="129"/>
      <c r="L16" s="129"/>
      <c r="M16" s="129"/>
      <c r="N16" s="129"/>
      <c r="O16" s="303">
        <f t="shared" si="1"/>
        <v>36950.380000000005</v>
      </c>
      <c r="P16" s="290">
        <f t="shared" si="0"/>
        <v>4.2658801180409427E-2</v>
      </c>
    </row>
    <row r="17" spans="1:16" ht="18" customHeight="1" x14ac:dyDescent="0.2">
      <c r="A17" s="25">
        <v>13</v>
      </c>
      <c r="B17" s="26" t="s">
        <v>10</v>
      </c>
      <c r="C17" s="129">
        <v>5119.08</v>
      </c>
      <c r="D17" s="129">
        <v>2714.55</v>
      </c>
      <c r="E17" s="129">
        <v>5752.36</v>
      </c>
      <c r="F17" s="129">
        <v>6489.22</v>
      </c>
      <c r="G17" s="129">
        <v>4148.51</v>
      </c>
      <c r="H17" s="129">
        <v>4922.2</v>
      </c>
      <c r="I17" s="129">
        <v>3335.22</v>
      </c>
      <c r="J17" s="129">
        <v>1577.05</v>
      </c>
      <c r="K17" s="129"/>
      <c r="L17" s="129"/>
      <c r="M17" s="129"/>
      <c r="N17" s="129"/>
      <c r="O17" s="303">
        <f t="shared" si="1"/>
        <v>34058.19</v>
      </c>
      <c r="P17" s="290">
        <f t="shared" si="0"/>
        <v>3.931980011503558E-2</v>
      </c>
    </row>
    <row r="18" spans="1:16" ht="18" customHeight="1" x14ac:dyDescent="0.2">
      <c r="A18" s="25">
        <v>14</v>
      </c>
      <c r="B18" s="26" t="s">
        <v>11</v>
      </c>
      <c r="C18" s="129">
        <f>4927.64+1320.45</f>
        <v>6248.09</v>
      </c>
      <c r="D18" s="129">
        <v>3613.72</v>
      </c>
      <c r="E18" s="129">
        <v>3663.13</v>
      </c>
      <c r="F18" s="129">
        <v>6529.47</v>
      </c>
      <c r="G18" s="129">
        <v>3311.17</v>
      </c>
      <c r="H18" s="129">
        <v>7353.74</v>
      </c>
      <c r="I18" s="129">
        <v>4464.12</v>
      </c>
      <c r="J18" s="129">
        <v>3793.02</v>
      </c>
      <c r="K18" s="129"/>
      <c r="L18" s="129"/>
      <c r="M18" s="129"/>
      <c r="N18" s="129"/>
      <c r="O18" s="303">
        <f t="shared" si="1"/>
        <v>38976.46</v>
      </c>
      <c r="P18" s="290">
        <f t="shared" si="0"/>
        <v>4.499788792039975E-2</v>
      </c>
    </row>
    <row r="19" spans="1:16" ht="18" customHeight="1" x14ac:dyDescent="0.2">
      <c r="A19" s="25">
        <v>15</v>
      </c>
      <c r="B19" s="26" t="s">
        <v>12</v>
      </c>
      <c r="C19" s="129">
        <f>8106.66+7261.23</f>
        <v>15367.89</v>
      </c>
      <c r="D19" s="129">
        <v>5168.8100000000004</v>
      </c>
      <c r="E19" s="129">
        <v>5587.57</v>
      </c>
      <c r="F19" s="129">
        <v>7334.81</v>
      </c>
      <c r="G19" s="129">
        <v>4557.49</v>
      </c>
      <c r="H19" s="129">
        <v>5195.22</v>
      </c>
      <c r="I19" s="129">
        <v>6193.34</v>
      </c>
      <c r="J19" s="129">
        <v>6305.26</v>
      </c>
      <c r="K19" s="129"/>
      <c r="L19" s="129"/>
      <c r="M19" s="129"/>
      <c r="N19" s="129"/>
      <c r="O19" s="303">
        <f t="shared" si="1"/>
        <v>55710.390000000007</v>
      </c>
      <c r="P19" s="290">
        <f t="shared" si="0"/>
        <v>6.4317023280763816E-2</v>
      </c>
    </row>
    <row r="20" spans="1:16" ht="18" customHeight="1" x14ac:dyDescent="0.2">
      <c r="A20" s="25">
        <v>16</v>
      </c>
      <c r="B20" s="128" t="s">
        <v>13</v>
      </c>
      <c r="C20" s="129">
        <v>0</v>
      </c>
      <c r="D20" s="129">
        <f>3354.48+3627.46</f>
        <v>6981.9400000000005</v>
      </c>
      <c r="E20" s="129">
        <v>0</v>
      </c>
      <c r="F20" s="129">
        <v>5429.66</v>
      </c>
      <c r="G20" s="129">
        <v>0</v>
      </c>
      <c r="H20" s="129">
        <v>6754.21</v>
      </c>
      <c r="I20" s="129">
        <v>0</v>
      </c>
      <c r="J20" s="129">
        <v>3951.72</v>
      </c>
      <c r="K20" s="129"/>
      <c r="L20" s="129"/>
      <c r="M20" s="129"/>
      <c r="N20" s="129"/>
      <c r="O20" s="303">
        <f t="shared" si="1"/>
        <v>23117.530000000002</v>
      </c>
      <c r="P20" s="290">
        <f t="shared" si="0"/>
        <v>2.6688930291167513E-2</v>
      </c>
    </row>
    <row r="21" spans="1:16" ht="18" customHeight="1" x14ac:dyDescent="0.2">
      <c r="A21" s="25">
        <v>17</v>
      </c>
      <c r="B21" s="26" t="s">
        <v>14</v>
      </c>
      <c r="C21" s="129">
        <v>9338.58</v>
      </c>
      <c r="D21" s="129">
        <v>4066.32</v>
      </c>
      <c r="E21" s="129">
        <v>0</v>
      </c>
      <c r="F21" s="129">
        <v>4720.4799999999996</v>
      </c>
      <c r="G21" s="129">
        <v>5433.99</v>
      </c>
      <c r="H21" s="129">
        <v>5901.99</v>
      </c>
      <c r="I21" s="129">
        <v>4207.42</v>
      </c>
      <c r="J21" s="129">
        <v>5814.12</v>
      </c>
      <c r="K21" s="129"/>
      <c r="L21" s="129"/>
      <c r="M21" s="129"/>
      <c r="N21" s="129"/>
      <c r="O21" s="303">
        <f t="shared" si="1"/>
        <v>39482.899999999994</v>
      </c>
      <c r="P21" s="290">
        <f t="shared" si="0"/>
        <v>4.5582567246290479E-2</v>
      </c>
    </row>
    <row r="22" spans="1:16" ht="18" customHeight="1" x14ac:dyDescent="0.2">
      <c r="A22" s="25">
        <v>18</v>
      </c>
      <c r="B22" s="26" t="s">
        <v>15</v>
      </c>
      <c r="C22" s="129">
        <v>11239.77</v>
      </c>
      <c r="D22" s="129">
        <v>3801.21</v>
      </c>
      <c r="E22" s="129">
        <v>3890.07</v>
      </c>
      <c r="F22" s="129">
        <v>4550.54</v>
      </c>
      <c r="G22" s="129">
        <v>4175.9799999999996</v>
      </c>
      <c r="H22" s="129">
        <v>4546.93</v>
      </c>
      <c r="I22" s="129">
        <v>3255.1</v>
      </c>
      <c r="J22" s="129">
        <v>8160.38</v>
      </c>
      <c r="K22" s="129"/>
      <c r="L22" s="129"/>
      <c r="M22" s="129"/>
      <c r="N22" s="129"/>
      <c r="O22" s="303">
        <f t="shared" si="1"/>
        <v>43619.979999999996</v>
      </c>
      <c r="P22" s="290">
        <f t="shared" si="0"/>
        <v>5.0358779918188531E-2</v>
      </c>
    </row>
    <row r="23" spans="1:16" s="48" customFormat="1" ht="18" customHeight="1" x14ac:dyDescent="0.2">
      <c r="A23" s="45">
        <v>5.4166666666666669E-2</v>
      </c>
      <c r="B23" s="154" t="s">
        <v>22</v>
      </c>
      <c r="C23" s="155">
        <f>C5+C6+C7+C8+C9+C10+C11+C12+C13+C14+C15+C16+C17+C18+C19+C20+C21+C22</f>
        <v>253745.90999999997</v>
      </c>
      <c r="D23" s="155">
        <f>D5+D6+D7+D8+D9+D11+D12+D13+D14+D15+D16+D17+D18+D19+D20+D21++D22</f>
        <v>83875.470000000016</v>
      </c>
      <c r="E23" s="155">
        <f>E5+E6+E7+E8+E9+E10+E11+E12+E13+E14+E15+E16+E17+E18+E19+E20+E21+E22</f>
        <v>73712.020000000019</v>
      </c>
      <c r="F23" s="155">
        <f>F5+F6+F7+F8+F9+F10+F11+F12+F13+F14+F15+F16+F17+F18+F19+F20+F21+F22</f>
        <v>103168.76</v>
      </c>
      <c r="G23" s="155">
        <f>G5+G6+G7+G8+G9+G10+G11+G12+G13+G14+G15+G16+G17+G18+G19+G20+G21+G22</f>
        <v>80036.150000000009</v>
      </c>
      <c r="H23" s="155">
        <f>H7+H8+H9+H10+H11+H12+H13+H14+++H15+H16+H17+H18+H19+H20+H21+H22</f>
        <v>94129.94</v>
      </c>
      <c r="I23" s="155">
        <f>I5+I6+I7+I8+I9+I10+I11+I12+I13+I14+I15+I16+I17+I18+I19+I20+I21+I22</f>
        <v>90692.609999999986</v>
      </c>
      <c r="J23" s="155">
        <f>J22+J21+J20+J19+J18+J17+J16+J15+J13+J12+J11+J10+J9+J8+J7+J6+J5</f>
        <v>86823.349999999991</v>
      </c>
      <c r="K23" s="155"/>
      <c r="L23" s="155"/>
      <c r="M23" s="155"/>
      <c r="N23" s="155"/>
      <c r="O23" s="304">
        <f t="shared" si="1"/>
        <v>866184.21</v>
      </c>
      <c r="P23" s="291">
        <f t="shared" si="0"/>
        <v>1</v>
      </c>
    </row>
    <row r="24" spans="1:16" ht="18" customHeight="1" x14ac:dyDescent="0.2">
      <c r="A24" s="30">
        <v>20</v>
      </c>
      <c r="B24" s="31" t="s">
        <v>16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/>
      <c r="L24" s="130"/>
      <c r="M24" s="130"/>
      <c r="N24" s="130"/>
      <c r="O24" s="305">
        <f t="shared" si="1"/>
        <v>0</v>
      </c>
      <c r="P24" s="339">
        <f t="shared" si="0"/>
        <v>0</v>
      </c>
    </row>
    <row r="25" spans="1:16" ht="18" customHeight="1" x14ac:dyDescent="0.2">
      <c r="A25" s="30">
        <v>21</v>
      </c>
      <c r="B25" s="26" t="s">
        <v>17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305">
        <f t="shared" si="1"/>
        <v>0</v>
      </c>
      <c r="P25" s="339">
        <f t="shared" si="0"/>
        <v>0</v>
      </c>
    </row>
    <row r="26" spans="1:16" s="48" customFormat="1" ht="18" customHeight="1" x14ac:dyDescent="0.2">
      <c r="A26" s="49" t="s">
        <v>24</v>
      </c>
      <c r="B26" s="152" t="s">
        <v>23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306">
        <f t="shared" si="1"/>
        <v>0</v>
      </c>
      <c r="P26" s="292">
        <f t="shared" si="0"/>
        <v>0</v>
      </c>
    </row>
    <row r="27" spans="1:16" s="55" customFormat="1" ht="18" customHeight="1" x14ac:dyDescent="0.2">
      <c r="A27" s="203" t="s">
        <v>26</v>
      </c>
      <c r="B27" s="208" t="s">
        <v>25</v>
      </c>
      <c r="C27" s="209">
        <f>C23</f>
        <v>253745.90999999997</v>
      </c>
      <c r="D27" s="209">
        <v>83875.47</v>
      </c>
      <c r="E27" s="209">
        <v>73712.02</v>
      </c>
      <c r="F27" s="209">
        <v>103167.76</v>
      </c>
      <c r="G27" s="209">
        <v>80036.149999999994</v>
      </c>
      <c r="H27" s="209">
        <f>H23</f>
        <v>94129.94</v>
      </c>
      <c r="I27" s="209">
        <f>I23</f>
        <v>90692.609999999986</v>
      </c>
      <c r="J27" s="209">
        <v>86823.35</v>
      </c>
      <c r="K27" s="209"/>
      <c r="L27" s="209"/>
      <c r="M27" s="209"/>
      <c r="N27" s="209"/>
      <c r="O27" s="209">
        <f t="shared" si="1"/>
        <v>866183.21</v>
      </c>
      <c r="P27" s="281">
        <f t="shared" si="0"/>
        <v>0.99999884551116447</v>
      </c>
    </row>
    <row r="28" spans="1:16" ht="16.5" customHeight="1" x14ac:dyDescent="0.2">
      <c r="D28" s="125" t="s">
        <v>84</v>
      </c>
    </row>
    <row r="29" spans="1:16" ht="16.5" customHeight="1" x14ac:dyDescent="0.2">
      <c r="G29" s="109"/>
      <c r="H29" s="110" t="s">
        <v>48</v>
      </c>
      <c r="I29" s="109"/>
      <c r="J29" s="109"/>
      <c r="K29" s="109"/>
      <c r="L29" s="111"/>
      <c r="M29" s="109" t="s">
        <v>49</v>
      </c>
      <c r="N29" s="112"/>
    </row>
    <row r="30" spans="1:16" ht="16.5" customHeight="1" x14ac:dyDescent="0.2">
      <c r="G30" s="109"/>
      <c r="H30" s="109" t="s">
        <v>50</v>
      </c>
      <c r="I30" s="109"/>
      <c r="J30" s="109"/>
      <c r="K30" s="109"/>
      <c r="L30" s="111"/>
      <c r="M30" s="109" t="s">
        <v>51</v>
      </c>
      <c r="N30" s="112"/>
    </row>
    <row r="31" spans="1:16" ht="16.5" customHeight="1" x14ac:dyDescent="0.2">
      <c r="G31" s="109"/>
      <c r="H31" s="111" t="s">
        <v>52</v>
      </c>
      <c r="I31" s="111"/>
      <c r="J31" s="111"/>
      <c r="K31" s="109"/>
      <c r="L31" s="111"/>
      <c r="M31" s="109" t="s">
        <v>53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topLeftCell="A10" workbookViewId="0">
      <selection activeCell="B2" sqref="B2"/>
    </sheetView>
  </sheetViews>
  <sheetFormatPr defaultRowHeight="19.5" customHeight="1" x14ac:dyDescent="0.45"/>
  <cols>
    <col min="1" max="1" width="5.75" style="61" customWidth="1"/>
    <col min="2" max="2" width="15.875" style="194" customWidth="1"/>
    <col min="3" max="14" width="8.625" style="107" customWidth="1"/>
    <col min="15" max="15" width="9.75" style="314" customWidth="1"/>
    <col min="16" max="16" width="12" style="322" customWidth="1"/>
    <col min="17" max="16384" width="9" style="61"/>
  </cols>
  <sheetData>
    <row r="1" spans="1:17" s="145" customFormat="1" ht="19.5" customHeight="1" x14ac:dyDescent="0.2">
      <c r="A1" s="139"/>
      <c r="B1" s="140"/>
      <c r="C1" s="141"/>
      <c r="D1" s="142" t="s">
        <v>43</v>
      </c>
      <c r="E1" s="141"/>
      <c r="F1" s="141"/>
      <c r="G1" s="141"/>
      <c r="H1" s="141"/>
      <c r="I1" s="143"/>
      <c r="J1" s="143"/>
      <c r="K1" s="142" t="str">
        <f>สรุปยอด!C3</f>
        <v xml:space="preserve"> ปีงบประมาณ   2562</v>
      </c>
      <c r="L1" s="141"/>
      <c r="M1" s="141"/>
      <c r="N1" s="141"/>
      <c r="O1" s="141"/>
      <c r="P1" s="321"/>
      <c r="Q1" s="144"/>
    </row>
    <row r="2" spans="1:17" s="145" customFormat="1" ht="19.5" customHeight="1" x14ac:dyDescent="0.2">
      <c r="A2" s="139"/>
      <c r="B2" s="140"/>
      <c r="C2" s="142" t="str">
        <f>'[1]1.1.ยา(ทั่วไป)'!C2</f>
        <v>จาก ฝ่ายเภสัชกรรมชุมชน  โรงพยาบาลกุมภวาปี</v>
      </c>
      <c r="D2" s="141"/>
      <c r="E2" s="143"/>
      <c r="F2" s="141"/>
      <c r="G2" s="141"/>
      <c r="H2" s="143"/>
      <c r="I2" s="141"/>
      <c r="J2" s="141"/>
      <c r="K2" s="141"/>
      <c r="L2" s="143"/>
      <c r="M2" s="146"/>
      <c r="N2" s="147" t="str">
        <f>สรุปยอด!D4</f>
        <v>รายงานข้อมูลณ วันที่ 27/5/62</v>
      </c>
      <c r="O2" s="141"/>
      <c r="P2" s="321"/>
      <c r="Q2" s="144"/>
    </row>
    <row r="3" spans="1:17" ht="5.25" customHeight="1" x14ac:dyDescent="0.45"/>
    <row r="4" spans="1:17" s="166" customFormat="1" ht="31.5" customHeight="1" x14ac:dyDescent="0.45">
      <c r="A4" s="168" t="s">
        <v>0</v>
      </c>
      <c r="B4" s="197" t="s">
        <v>1</v>
      </c>
      <c r="C4" s="198" t="s">
        <v>27</v>
      </c>
      <c r="D4" s="198" t="s">
        <v>28</v>
      </c>
      <c r="E4" s="198" t="s">
        <v>29</v>
      </c>
      <c r="F4" s="198" t="s">
        <v>30</v>
      </c>
      <c r="G4" s="198" t="s">
        <v>31</v>
      </c>
      <c r="H4" s="198" t="s">
        <v>32</v>
      </c>
      <c r="I4" s="198" t="s">
        <v>33</v>
      </c>
      <c r="J4" s="198" t="s">
        <v>34</v>
      </c>
      <c r="K4" s="198" t="s">
        <v>35</v>
      </c>
      <c r="L4" s="198" t="s">
        <v>36</v>
      </c>
      <c r="M4" s="198" t="s">
        <v>37</v>
      </c>
      <c r="N4" s="198" t="s">
        <v>38</v>
      </c>
      <c r="O4" s="199" t="s">
        <v>39</v>
      </c>
      <c r="P4" s="323" t="s">
        <v>40</v>
      </c>
    </row>
    <row r="5" spans="1:17" ht="19.5" customHeight="1" x14ac:dyDescent="0.45">
      <c r="A5" s="25">
        <v>1</v>
      </c>
      <c r="B5" s="26" t="s">
        <v>18</v>
      </c>
      <c r="C5" s="193">
        <f>'1.ยาทั่วไป'!C5+'2.ยาแพทย์ PCC'!C5+'3.ยาเรื้อรัง 25%'!C5+'4.ยาเรื้อรังฟรี'!C5</f>
        <v>67444.55</v>
      </c>
      <c r="D5" s="193">
        <f>'1.ยาทั่วไป'!D5+'2.ยาแพทย์ PCC'!D5+'3.ยาเรื้อรัง 25%'!D5+'4.ยาเรื้อรังฟรี'!D5</f>
        <v>39376.559999999998</v>
      </c>
      <c r="E5" s="193">
        <f>'1.ยาทั่วไป'!E5+'2.ยาแพทย์ PCC'!E5+'3.ยาเรื้อรัง 25%'!E5+'4.ยาเรื้อรังฟรี'!E5</f>
        <v>75657.55</v>
      </c>
      <c r="F5" s="193">
        <f>'1.ยาทั่วไป'!F5+'2.ยาแพทย์ PCC'!F5+'3.ยาเรื้อรัง 25%'!F5+'4.ยาเรื้อรังฟรี'!F5</f>
        <v>73301.430000000008</v>
      </c>
      <c r="G5" s="193">
        <f>'1.ยาทั่วไป'!G5+'2.ยาแพทย์ PCC'!G5+'3.ยาเรื้อรัง 25%'!G5+'4.ยาเรื้อรังฟรี'!G5</f>
        <v>70385.33</v>
      </c>
      <c r="H5" s="193">
        <f>'1.ยาทั่วไป'!H5+'2.ยาแพทย์ PCC'!H5+'3.ยาเรื้อรัง 25%'!H5+'4.ยาเรื้อรังฟรี'!H5</f>
        <v>61270.25</v>
      </c>
      <c r="I5" s="193">
        <f>'1.ยาทั่วไป'!I5+'2.ยาแพทย์ PCC'!I5+'3.ยาเรื้อรัง 25%'!I5+'4.ยาเรื้อรังฟรี'!I5</f>
        <v>63978.35</v>
      </c>
      <c r="J5" s="193">
        <f>'1.ยาทั่วไป'!J5+'2.ยาแพทย์ PCC'!J5+'3.ยาเรื้อรัง 25%'!J5+'4.ยาเรื้อรังฟรี'!J5</f>
        <v>82262.84</v>
      </c>
      <c r="K5" s="193">
        <f>'1.ยาทั่วไป'!K5+'2.ยาแพทย์ PCC'!K5+'3.ยาเรื้อรัง 25%'!K5+'4.ยาเรื้อรังฟรี'!K5</f>
        <v>0</v>
      </c>
      <c r="L5" s="193">
        <f>'1.ยาทั่วไป'!L5+'2.ยาแพทย์ PCC'!L5+'3.ยาเรื้อรัง 25%'!L5+'4.ยาเรื้อรังฟรี'!L5</f>
        <v>0</v>
      </c>
      <c r="M5" s="193">
        <f>'1.ยาทั่วไป'!M5+'2.ยาแพทย์ PCC'!M5+'3.ยาเรื้อรัง 25%'!M5+'4.ยาเรื้อรังฟรี'!M5</f>
        <v>0</v>
      </c>
      <c r="N5" s="193">
        <f>'1.ยาทั่วไป'!N5+'2.ยาแพทย์ PCC'!N5+'3.ยาเรื้อรัง 25%'!N5+'4.ยาเรื้อรังฟรี'!N5</f>
        <v>0</v>
      </c>
      <c r="O5" s="315">
        <f>SUM(C5:N5)</f>
        <v>533676.86</v>
      </c>
      <c r="P5" s="319">
        <f t="shared" ref="P5:P27" si="0">O5/$O$23</f>
        <v>0.17331066949372212</v>
      </c>
    </row>
    <row r="6" spans="1:17" ht="19.5" customHeight="1" x14ac:dyDescent="0.45">
      <c r="A6" s="25">
        <v>2</v>
      </c>
      <c r="B6" s="26" t="s">
        <v>19</v>
      </c>
      <c r="C6" s="193">
        <f>'1.ยาทั่วไป'!C6+'2.ยาแพทย์ PCC'!C6+'3.ยาเรื้อรัง 25%'!C6+'4.ยาเรื้อรังฟรี'!C6</f>
        <v>20772.800000000003</v>
      </c>
      <c r="D6" s="193">
        <f>'1.ยาทั่วไป'!D6+'2.ยาแพทย์ PCC'!D6+'3.ยาเรื้อรัง 25%'!D6+'4.ยาเรื้อรังฟรี'!D6</f>
        <v>48827.25</v>
      </c>
      <c r="E6" s="193">
        <f>'1.ยาทั่วไป'!E6+'2.ยาแพทย์ PCC'!E6+'3.ยาเรื้อรัง 25%'!E6+'4.ยาเรื้อรังฟรี'!E6</f>
        <v>39206.76</v>
      </c>
      <c r="F6" s="193">
        <f>'1.ยาทั่วไป'!F6+'2.ยาแพทย์ PCC'!F6+'3.ยาเรื้อรัง 25%'!F6+'4.ยาเรื้อรังฟรี'!F6</f>
        <v>46497.100000000006</v>
      </c>
      <c r="G6" s="193">
        <f>'1.ยาทั่วไป'!G6+'2.ยาแพทย์ PCC'!G6+'3.ยาเรื้อรัง 25%'!G6+'4.ยาเรื้อรังฟรี'!G6</f>
        <v>41522.050000000003</v>
      </c>
      <c r="H6" s="193">
        <f>'1.ยาทั่วไป'!H6+'2.ยาแพทย์ PCC'!H6+'3.ยาเรื้อรัง 25%'!H6+'4.ยาเรื้อรังฟรี'!H6</f>
        <v>36799.019999999997</v>
      </c>
      <c r="I6" s="193">
        <f>'1.ยาทั่วไป'!I6+'2.ยาแพทย์ PCC'!I6+'3.ยาเรื้อรัง 25%'!I6+'4.ยาเรื้อรังฟรี'!I6</f>
        <v>43995.18</v>
      </c>
      <c r="J6" s="193">
        <f>'1.ยาทั่วไป'!J6+'2.ยาแพทย์ PCC'!J6+'3.ยาเรื้อรัง 25%'!J6+'4.ยาเรื้อรังฟรี'!J6</f>
        <v>40594.050000000003</v>
      </c>
      <c r="K6" s="193">
        <f>'1.ยาทั่วไป'!K6+'2.ยาแพทย์ PCC'!K6+'3.ยาเรื้อรัง 25%'!K6+'4.ยาเรื้อรังฟรี'!K6</f>
        <v>0</v>
      </c>
      <c r="L6" s="193">
        <f>'1.ยาทั่วไป'!L6+'2.ยาแพทย์ PCC'!L6+'3.ยาเรื้อรัง 25%'!L6+'4.ยาเรื้อรังฟรี'!L6</f>
        <v>0</v>
      </c>
      <c r="M6" s="193">
        <f>'1.ยาทั่วไป'!M6+'2.ยาแพทย์ PCC'!M6+'3.ยาเรื้อรัง 25%'!M6+'4.ยาเรื้อรังฟรี'!M6</f>
        <v>0</v>
      </c>
      <c r="N6" s="193">
        <f>'1.ยาทั่วไป'!N6+'2.ยาแพทย์ PCC'!N6+'3.ยาเรื้อรัง 25%'!N6+'4.ยาเรื้อรังฟรี'!N6</f>
        <v>0</v>
      </c>
      <c r="O6" s="315">
        <f t="shared" ref="O6:O27" si="1">SUM(C6:N6)</f>
        <v>318214.21000000002</v>
      </c>
      <c r="P6" s="319">
        <f t="shared" si="0"/>
        <v>0.10333953354754016</v>
      </c>
    </row>
    <row r="7" spans="1:17" ht="19.5" customHeight="1" x14ac:dyDescent="0.45">
      <c r="A7" s="25">
        <v>3</v>
      </c>
      <c r="B7" s="26" t="s">
        <v>20</v>
      </c>
      <c r="C7" s="193">
        <f>'1.ยาทั่วไป'!C7+'2.ยาแพทย์ PCC'!C7+'3.ยาเรื้อรัง 25%'!C7+'4.ยาเรื้อรังฟรี'!C7</f>
        <v>2484.5</v>
      </c>
      <c r="D7" s="193">
        <f>'1.ยาทั่วไป'!D7+'2.ยาแพทย์ PCC'!D7+'3.ยาเรื้อรัง 25%'!D7+'4.ยาเรื้อรังฟรี'!D7</f>
        <v>14142.39</v>
      </c>
      <c r="E7" s="193">
        <f>'1.ยาทั่วไป'!E7+'2.ยาแพทย์ PCC'!E7+'3.ยาเรื้อรัง 25%'!E7+'4.ยาเรื้อรังฟรี'!E7</f>
        <v>14962.41</v>
      </c>
      <c r="F7" s="193">
        <f>'1.ยาทั่วไป'!F7+'2.ยาแพทย์ PCC'!F7+'3.ยาเรื้อรัง 25%'!F7+'4.ยาเรื้อรังฟรี'!F7</f>
        <v>20041.47</v>
      </c>
      <c r="G7" s="193">
        <f>'1.ยาทั่วไป'!G7+'2.ยาแพทย์ PCC'!G7+'3.ยาเรื้อรัง 25%'!G7+'4.ยาเรื้อรังฟรี'!G7</f>
        <v>23695.17</v>
      </c>
      <c r="H7" s="193">
        <f>'1.ยาทั่วไป'!H7+'2.ยาแพทย์ PCC'!H7+'3.ยาเรื้อรัง 25%'!H7+'4.ยาเรื้อรังฟรี'!H7</f>
        <v>21809.19</v>
      </c>
      <c r="I7" s="193">
        <f>'1.ยาทั่วไป'!I7+'2.ยาแพทย์ PCC'!I7+'3.ยาเรื้อรัง 25%'!I7+'4.ยาเรื้อรังฟรี'!I7</f>
        <v>10387</v>
      </c>
      <c r="J7" s="193">
        <f>'1.ยาทั่วไป'!J7+'2.ยาแพทย์ PCC'!J7+'3.ยาเรื้อรัง 25%'!J7+'4.ยาเรื้อรังฟรี'!J7</f>
        <v>33974.160000000003</v>
      </c>
      <c r="K7" s="193">
        <f>'1.ยาทั่วไป'!K7+'2.ยาแพทย์ PCC'!K7+'3.ยาเรื้อรัง 25%'!K7+'4.ยาเรื้อรังฟรี'!K7</f>
        <v>0</v>
      </c>
      <c r="L7" s="193">
        <f>'1.ยาทั่วไป'!L7+'2.ยาแพทย์ PCC'!L7+'3.ยาเรื้อรัง 25%'!L7+'4.ยาเรื้อรังฟรี'!L7</f>
        <v>0</v>
      </c>
      <c r="M7" s="193">
        <f>'1.ยาทั่วไป'!M7+'2.ยาแพทย์ PCC'!M7+'3.ยาเรื้อรัง 25%'!M7+'4.ยาเรื้อรังฟรี'!M7</f>
        <v>0</v>
      </c>
      <c r="N7" s="193">
        <f>'1.ยาทั่วไป'!N7+'2.ยาแพทย์ PCC'!N7+'3.ยาเรื้อรัง 25%'!N7+'4.ยาเรื้อรังฟรี'!N7</f>
        <v>0</v>
      </c>
      <c r="O7" s="315">
        <f t="shared" si="1"/>
        <v>141496.29</v>
      </c>
      <c r="P7" s="319">
        <f t="shared" si="0"/>
        <v>4.5950683997761983E-2</v>
      </c>
    </row>
    <row r="8" spans="1:17" ht="19.5" customHeight="1" x14ac:dyDescent="0.45">
      <c r="A8" s="25">
        <v>4</v>
      </c>
      <c r="B8" s="26" t="s">
        <v>21</v>
      </c>
      <c r="C8" s="193">
        <f>'1.ยาทั่วไป'!C8+'2.ยาแพทย์ PCC'!C8+'3.ยาเรื้อรัง 25%'!C8+'4.ยาเรื้อรังฟรี'!C8</f>
        <v>23141.040000000001</v>
      </c>
      <c r="D8" s="193">
        <f>'1.ยาทั่วไป'!D8+'2.ยาแพทย์ PCC'!D8+'3.ยาเรื้อรัง 25%'!D8+'4.ยาเรื้อรังฟรี'!D8</f>
        <v>65351.58</v>
      </c>
      <c r="E8" s="193">
        <f>'1.ยาทั่วไป'!E8+'2.ยาแพทย์ PCC'!E8+'3.ยาเรื้อรัง 25%'!E8+'4.ยาเรื้อรังฟรี'!E8</f>
        <v>4567.9399999999996</v>
      </c>
      <c r="F8" s="193">
        <f>'1.ยาทั่วไป'!F8+'2.ยาแพทย์ PCC'!F8+'3.ยาเรื้อรัง 25%'!F8+'4.ยาเรื้อรังฟรี'!F8</f>
        <v>11017</v>
      </c>
      <c r="G8" s="193">
        <f>'1.ยาทั่วไป'!G8+'2.ยาแพทย์ PCC'!G8+'3.ยาเรื้อรัง 25%'!G8+'4.ยาเรื้อรังฟรี'!G8</f>
        <v>40905.08</v>
      </c>
      <c r="H8" s="193">
        <f>'1.ยาทั่วไป'!H8+'2.ยาแพทย์ PCC'!H8+'3.ยาเรื้อรัง 25%'!H8+'4.ยาเรื้อรังฟรี'!H8</f>
        <v>29591.82</v>
      </c>
      <c r="I8" s="193">
        <f>'1.ยาทั่วไป'!I8+'2.ยาแพทย์ PCC'!I8+'3.ยาเรื้อรัง 25%'!I8+'4.ยาเรื้อรังฟรี'!I8</f>
        <v>76939.63</v>
      </c>
      <c r="J8" s="193">
        <f>'1.ยาทั่วไป'!J8+'2.ยาแพทย์ PCC'!J8+'3.ยาเรื้อรัง 25%'!J8+'4.ยาเรื้อรังฟรี'!J8</f>
        <v>60058.759999999995</v>
      </c>
      <c r="K8" s="193">
        <f>'1.ยาทั่วไป'!K8+'2.ยาแพทย์ PCC'!K8+'3.ยาเรื้อรัง 25%'!K8+'4.ยาเรื้อรังฟรี'!K8</f>
        <v>0</v>
      </c>
      <c r="L8" s="193">
        <f>'1.ยาทั่วไป'!L8+'2.ยาแพทย์ PCC'!L8+'3.ยาเรื้อรัง 25%'!L8+'4.ยาเรื้อรังฟรี'!L8</f>
        <v>0</v>
      </c>
      <c r="M8" s="193">
        <f>'1.ยาทั่วไป'!M8+'2.ยาแพทย์ PCC'!M8+'3.ยาเรื้อรัง 25%'!M8+'4.ยาเรื้อรังฟรี'!M8</f>
        <v>0</v>
      </c>
      <c r="N8" s="193">
        <f>'1.ยาทั่วไป'!N8+'2.ยาแพทย์ PCC'!N8+'3.ยาเรื้อรัง 25%'!N8+'4.ยาเรื้อรังฟรี'!N8</f>
        <v>0</v>
      </c>
      <c r="O8" s="315">
        <f t="shared" si="1"/>
        <v>311572.85000000003</v>
      </c>
      <c r="P8" s="319">
        <f t="shared" si="0"/>
        <v>0.1011827629730228</v>
      </c>
    </row>
    <row r="9" spans="1:17" ht="19.5" customHeight="1" x14ac:dyDescent="0.45">
      <c r="A9" s="25">
        <v>5</v>
      </c>
      <c r="B9" s="26" t="s">
        <v>2</v>
      </c>
      <c r="C9" s="193">
        <f>'1.ยาทั่วไป'!C9+'2.ยาแพทย์ PCC'!C9+'3.ยาเรื้อรัง 25%'!C9+'4.ยาเรื้อรังฟรี'!C9</f>
        <v>11513.599999999999</v>
      </c>
      <c r="D9" s="193">
        <f>'1.ยาทั่วไป'!D9+'2.ยาแพทย์ PCC'!D9+'3.ยาเรื้อรัง 25%'!D9+'4.ยาเรื้อรังฟรี'!D9</f>
        <v>17058.55</v>
      </c>
      <c r="E9" s="193">
        <f>'1.ยาทั่วไป'!E9+'2.ยาแพทย์ PCC'!E9+'3.ยาเรื้อรัง 25%'!E9+'4.ยาเรื้อรังฟรี'!E9</f>
        <v>14676.029999999999</v>
      </c>
      <c r="F9" s="193">
        <f>'1.ยาทั่วไป'!F9+'2.ยาแพทย์ PCC'!F9+'3.ยาเรื้อรัง 25%'!F9+'4.ยาเรื้อรังฟรี'!F9</f>
        <v>38328.199999999997</v>
      </c>
      <c r="G9" s="193">
        <f>'1.ยาทั่วไป'!G9+'2.ยาแพทย์ PCC'!G9+'3.ยาเรื้อรัง 25%'!G9+'4.ยาเรื้อรังฟรี'!G9</f>
        <v>20024.2</v>
      </c>
      <c r="H9" s="193">
        <f>'1.ยาทั่วไป'!H9+'2.ยาแพทย์ PCC'!H9+'3.ยาเรื้อรัง 25%'!H9+'4.ยาเรื้อรังฟรี'!H9</f>
        <v>11881.52</v>
      </c>
      <c r="I9" s="193">
        <f>'1.ยาทั่วไป'!I9+'2.ยาแพทย์ PCC'!I9+'3.ยาเรื้อรัง 25%'!I9+'4.ยาเรื้อรังฟรี'!I9</f>
        <v>10433.66</v>
      </c>
      <c r="J9" s="193">
        <f>'1.ยาทั่วไป'!J9+'2.ยาแพทย์ PCC'!J9+'3.ยาเรื้อรัง 25%'!J9+'4.ยาเรื้อรังฟรี'!J9</f>
        <v>16877.86</v>
      </c>
      <c r="K9" s="193">
        <f>'1.ยาทั่วไป'!K9+'2.ยาแพทย์ PCC'!K9+'3.ยาเรื้อรัง 25%'!K9+'4.ยาเรื้อรังฟรี'!K9</f>
        <v>0</v>
      </c>
      <c r="L9" s="193">
        <f>'1.ยาทั่วไป'!L9+'2.ยาแพทย์ PCC'!L9+'3.ยาเรื้อรัง 25%'!L9+'4.ยาเรื้อรังฟรี'!L9</f>
        <v>0</v>
      </c>
      <c r="M9" s="193">
        <f>'1.ยาทั่วไป'!M9+'2.ยาแพทย์ PCC'!M9+'3.ยาเรื้อรัง 25%'!M9+'4.ยาเรื้อรังฟรี'!M9</f>
        <v>0</v>
      </c>
      <c r="N9" s="193">
        <f>'1.ยาทั่วไป'!N9+'2.ยาแพทย์ PCC'!N9+'3.ยาเรื้อรัง 25%'!N9+'4.ยาเรื้อรังฟรี'!N9</f>
        <v>0</v>
      </c>
      <c r="O9" s="315">
        <f t="shared" si="1"/>
        <v>140793.62</v>
      </c>
      <c r="P9" s="319">
        <f t="shared" si="0"/>
        <v>4.5722493088129597E-2</v>
      </c>
    </row>
    <row r="10" spans="1:17" ht="19.5" customHeight="1" x14ac:dyDescent="0.45">
      <c r="A10" s="25">
        <v>6</v>
      </c>
      <c r="B10" s="26" t="s">
        <v>3</v>
      </c>
      <c r="C10" s="193">
        <f>'1.ยาทั่วไป'!C10+'2.ยาแพทย์ PCC'!C10+'3.ยาเรื้อรัง 25%'!C10+'4.ยาเรื้อรังฟรี'!C10</f>
        <v>17219.11</v>
      </c>
      <c r="D10" s="193">
        <f>'1.ยาทั่วไป'!D10+'2.ยาแพทย์ PCC'!D10+'3.ยาเรื้อรัง 25%'!D10+'4.ยาเรื้อรังฟรี'!D10</f>
        <v>30634.43</v>
      </c>
      <c r="E10" s="193">
        <f>'1.ยาทั่วไป'!E10+'2.ยาแพทย์ PCC'!E10+'3.ยาเรื้อรัง 25%'!E10+'4.ยาเรื้อรังฟรี'!E10</f>
        <v>9476.98</v>
      </c>
      <c r="F10" s="193">
        <f>'1.ยาทั่วไป'!F10+'2.ยาแพทย์ PCC'!F10+'3.ยาเรื้อรัง 25%'!F10+'4.ยาเรื้อรังฟรี'!F10</f>
        <v>12449.27</v>
      </c>
      <c r="G10" s="193">
        <f>'1.ยาทั่วไป'!G10+'2.ยาแพทย์ PCC'!G10+'3.ยาเรื้อรัง 25%'!G10+'4.ยาเรื้อรังฟรี'!G10</f>
        <v>6078.6100000000006</v>
      </c>
      <c r="H10" s="193">
        <f>'1.ยาทั่วไป'!H10+'2.ยาแพทย์ PCC'!H10+'3.ยาเรื้อรัง 25%'!H10+'4.ยาเรื้อรังฟรี'!H10</f>
        <v>8179</v>
      </c>
      <c r="I10" s="193">
        <f>'1.ยาทั่วไป'!I10+'2.ยาแพทย์ PCC'!I10+'3.ยาเรื้อรัง 25%'!I10+'4.ยาเรื้อรังฟรี'!I10</f>
        <v>16482.509999999998</v>
      </c>
      <c r="J10" s="193">
        <f>'1.ยาทั่วไป'!J10+'2.ยาแพทย์ PCC'!J10+'3.ยาเรื้อรัง 25%'!J10+'4.ยาเรื้อรังฟรี'!J10</f>
        <v>8459.49</v>
      </c>
      <c r="K10" s="193">
        <f>'1.ยาทั่วไป'!K10+'2.ยาแพทย์ PCC'!K10+'3.ยาเรื้อรัง 25%'!K10+'4.ยาเรื้อรังฟรี'!K10</f>
        <v>0</v>
      </c>
      <c r="L10" s="193">
        <f>'1.ยาทั่วไป'!L10+'2.ยาแพทย์ PCC'!L10+'3.ยาเรื้อรัง 25%'!L10+'4.ยาเรื้อรังฟรี'!L10</f>
        <v>0</v>
      </c>
      <c r="M10" s="193">
        <f>'1.ยาทั่วไป'!M10+'2.ยาแพทย์ PCC'!M10+'3.ยาเรื้อรัง 25%'!M10+'4.ยาเรื้อรังฟรี'!M10</f>
        <v>0</v>
      </c>
      <c r="N10" s="193">
        <f>'1.ยาทั่วไป'!N10+'2.ยาแพทย์ PCC'!N10+'3.ยาเรื้อรัง 25%'!N10+'4.ยาเรื้อรังฟรี'!N10</f>
        <v>0</v>
      </c>
      <c r="O10" s="315">
        <f t="shared" si="1"/>
        <v>108979.40000000001</v>
      </c>
      <c r="P10" s="319">
        <f t="shared" si="0"/>
        <v>3.5390878246105976E-2</v>
      </c>
    </row>
    <row r="11" spans="1:17" ht="19.5" customHeight="1" x14ac:dyDescent="0.45">
      <c r="A11" s="25">
        <v>7</v>
      </c>
      <c r="B11" s="26" t="s">
        <v>4</v>
      </c>
      <c r="C11" s="193">
        <f>'1.ยาทั่วไป'!C11+'2.ยาแพทย์ PCC'!C11+'3.ยาเรื้อรัง 25%'!C11+'4.ยาเรื้อรังฟรี'!C11</f>
        <v>9056</v>
      </c>
      <c r="D11" s="193">
        <f>'1.ยาทั่วไป'!D11+'2.ยาแพทย์ PCC'!D11+'3.ยาเรื้อรัง 25%'!D11+'4.ยาเรื้อรังฟรี'!D11</f>
        <v>14285.79</v>
      </c>
      <c r="E11" s="193">
        <f>'1.ยาทั่วไป'!E11+'2.ยาแพทย์ PCC'!E11+'3.ยาเรื้อรัง 25%'!E11+'4.ยาเรื้อรังฟรี'!E11</f>
        <v>6854.95</v>
      </c>
      <c r="F11" s="193">
        <f>'1.ยาทั่วไป'!F11+'2.ยาแพทย์ PCC'!F11+'3.ยาเรื้อรัง 25%'!F11+'4.ยาเรื้อรังฟรี'!F11</f>
        <v>28836.6</v>
      </c>
      <c r="G11" s="193">
        <f>'1.ยาทั่วไป'!G11+'2.ยาแพทย์ PCC'!G11+'3.ยาเรื้อรัง 25%'!G11+'4.ยาเรื้อรังฟรี'!G11</f>
        <v>19109.07</v>
      </c>
      <c r="H11" s="193">
        <f>'1.ยาทั่วไป'!H11+'2.ยาแพทย์ PCC'!H11+'3.ยาเรื้อรัง 25%'!H11+'4.ยาเรื้อรังฟรี'!H11</f>
        <v>7399.95</v>
      </c>
      <c r="I11" s="193">
        <f>'1.ยาทั่วไป'!I11+'2.ยาแพทย์ PCC'!I11+'3.ยาเรื้อรัง 25%'!I11+'4.ยาเรื้อรังฟรี'!I11</f>
        <v>10892.75</v>
      </c>
      <c r="J11" s="193">
        <f>'1.ยาทั่วไป'!J11+'2.ยาแพทย์ PCC'!J11+'3.ยาเรื้อรัง 25%'!J11+'4.ยาเรื้อรังฟรี'!J11</f>
        <v>28647.440000000002</v>
      </c>
      <c r="K11" s="193">
        <f>'1.ยาทั่วไป'!K11+'2.ยาแพทย์ PCC'!K11+'3.ยาเรื้อรัง 25%'!K11+'4.ยาเรื้อรังฟรี'!K11</f>
        <v>0</v>
      </c>
      <c r="L11" s="193">
        <f>'1.ยาทั่วไป'!L11+'2.ยาแพทย์ PCC'!L11+'3.ยาเรื้อรัง 25%'!L11+'4.ยาเรื้อรังฟรี'!L11</f>
        <v>0</v>
      </c>
      <c r="M11" s="193">
        <f>'1.ยาทั่วไป'!M11+'2.ยาแพทย์ PCC'!M11+'3.ยาเรื้อรัง 25%'!M11+'4.ยาเรื้อรังฟรี'!M11</f>
        <v>0</v>
      </c>
      <c r="N11" s="193">
        <f>'1.ยาทั่วไป'!N11+'2.ยาแพทย์ PCC'!N11+'3.ยาเรื้อรัง 25%'!N11+'4.ยาเรื้อรังฟรี'!N11</f>
        <v>0</v>
      </c>
      <c r="O11" s="315">
        <f t="shared" si="1"/>
        <v>125082.55</v>
      </c>
      <c r="P11" s="319">
        <f t="shared" si="0"/>
        <v>4.0620349329895951E-2</v>
      </c>
    </row>
    <row r="12" spans="1:17" ht="19.5" customHeight="1" x14ac:dyDescent="0.45">
      <c r="A12" s="25">
        <v>8</v>
      </c>
      <c r="B12" s="26" t="s">
        <v>5</v>
      </c>
      <c r="C12" s="193">
        <f>'1.ยาทั่วไป'!C12+'2.ยาแพทย์ PCC'!C12+'3.ยาเรื้อรัง 25%'!C12+'4.ยาเรื้อรังฟรี'!C12</f>
        <v>14035</v>
      </c>
      <c r="D12" s="193">
        <f>'1.ยาทั่วไป'!D12+'2.ยาแพทย์ PCC'!D12+'3.ยาเรื้อรัง 25%'!D12+'4.ยาเรื้อรังฟรี'!D12</f>
        <v>73402.47</v>
      </c>
      <c r="E12" s="193">
        <f>'1.ยาทั่วไป'!E12+'2.ยาแพทย์ PCC'!E12+'3.ยาเรื้อรัง 25%'!E12+'4.ยาเรื้อรังฟรี'!E12</f>
        <v>27802.13</v>
      </c>
      <c r="F12" s="193">
        <f>'1.ยาทั่วไป'!F12+'2.ยาแพทย์ PCC'!F12+'3.ยาเรื้อรัง 25%'!F12+'4.ยาเรื้อรังฟรี'!F12</f>
        <v>47119.25</v>
      </c>
      <c r="G12" s="193">
        <f>'1.ยาทั่วไป'!G12+'2.ยาแพทย์ PCC'!G12+'3.ยาเรื้อรัง 25%'!G12+'4.ยาเรื้อรังฟรี'!G12</f>
        <v>11003.25</v>
      </c>
      <c r="H12" s="193">
        <f>'1.ยาทั่วไป'!H12+'2.ยาแพทย์ PCC'!H12+'3.ยาเรื้อรัง 25%'!H12+'4.ยาเรื้อรังฟรี'!H12</f>
        <v>32675.910000000003</v>
      </c>
      <c r="I12" s="193">
        <f>'1.ยาทั่วไป'!I12+'2.ยาแพทย์ PCC'!I12+'3.ยาเรื้อรัง 25%'!I12+'4.ยาเรื้อรังฟรี'!I12</f>
        <v>9000</v>
      </c>
      <c r="J12" s="193">
        <f>'1.ยาทั่วไป'!J12+'2.ยาแพทย์ PCC'!J12+'3.ยาเรื้อรัง 25%'!J12+'4.ยาเรื้อรังฟรี'!J12</f>
        <v>35160.78</v>
      </c>
      <c r="K12" s="193">
        <f>'1.ยาทั่วไป'!K12+'2.ยาแพทย์ PCC'!K12+'3.ยาเรื้อรัง 25%'!K12+'4.ยาเรื้อรังฟรี'!K12</f>
        <v>0</v>
      </c>
      <c r="L12" s="193">
        <f>'1.ยาทั่วไป'!L12+'2.ยาแพทย์ PCC'!L12+'3.ยาเรื้อรัง 25%'!L12+'4.ยาเรื้อรังฟรี'!L12</f>
        <v>0</v>
      </c>
      <c r="M12" s="193">
        <f>'1.ยาทั่วไป'!M12+'2.ยาแพทย์ PCC'!M12+'3.ยาเรื้อรัง 25%'!M12+'4.ยาเรื้อรังฟรี'!M12</f>
        <v>0</v>
      </c>
      <c r="N12" s="193">
        <f>'1.ยาทั่วไป'!N12+'2.ยาแพทย์ PCC'!N12+'3.ยาเรื้อรัง 25%'!N12+'4.ยาเรื้อรังฟรี'!N12</f>
        <v>0</v>
      </c>
      <c r="O12" s="315">
        <f t="shared" si="1"/>
        <v>250198.79</v>
      </c>
      <c r="P12" s="319">
        <f t="shared" si="0"/>
        <v>8.1251639431057954E-2</v>
      </c>
    </row>
    <row r="13" spans="1:17" ht="19.5" customHeight="1" x14ac:dyDescent="0.45">
      <c r="A13" s="25">
        <v>9</v>
      </c>
      <c r="B13" s="26" t="s">
        <v>6</v>
      </c>
      <c r="C13" s="193">
        <f>'1.ยาทั่วไป'!C13+'2.ยาแพทย์ PCC'!C13+'3.ยาเรื้อรัง 25%'!C13+'4.ยาเรื้อรังฟรี'!C13</f>
        <v>18115.809999999998</v>
      </c>
      <c r="D13" s="193">
        <f>'1.ยาทั่วไป'!D13+'2.ยาแพทย์ PCC'!D13+'3.ยาเรื้อรัง 25%'!D13+'4.ยาเรื้อรังฟรี'!D13</f>
        <v>15020.320000000002</v>
      </c>
      <c r="E13" s="193">
        <f>'1.ยาทั่วไป'!E13+'2.ยาแพทย์ PCC'!E13+'3.ยาเรื้อรัง 25%'!E13+'4.ยาเรื้อรังฟรี'!E13</f>
        <v>20559.04</v>
      </c>
      <c r="F13" s="193">
        <f>'1.ยาทั่วไป'!F13+'2.ยาแพทย์ PCC'!F13+'3.ยาเรื้อรัง 25%'!F13+'4.ยาเรื้อรังฟรี'!F13</f>
        <v>17466.22</v>
      </c>
      <c r="G13" s="193">
        <f>'1.ยาทั่วไป'!G13+'2.ยาแพทย์ PCC'!G13+'3.ยาเรื้อรัง 25%'!G13+'4.ยาเรื้อรังฟรี'!G13</f>
        <v>11390.17</v>
      </c>
      <c r="H13" s="193">
        <f>'1.ยาทั่วไป'!H13+'2.ยาแพทย์ PCC'!H13+'3.ยาเรื้อรัง 25%'!H13+'4.ยาเรื้อรังฟรี'!H13</f>
        <v>17229.169999999998</v>
      </c>
      <c r="I13" s="193">
        <f>'1.ยาทั่วไป'!I13+'2.ยาแพทย์ PCC'!I13+'3.ยาเรื้อรัง 25%'!I13+'4.ยาเรื้อรังฟรี'!I13</f>
        <v>21690.42</v>
      </c>
      <c r="J13" s="193">
        <f>'1.ยาทั่วไป'!J13+'2.ยาแพทย์ PCC'!J13+'3.ยาเรื้อรัง 25%'!J13+'4.ยาเรื้อรังฟรี'!J13</f>
        <v>4345.33</v>
      </c>
      <c r="K13" s="193">
        <f>'1.ยาทั่วไป'!K13+'2.ยาแพทย์ PCC'!K13+'3.ยาเรื้อรัง 25%'!K13+'4.ยาเรื้อรังฟรี'!K13</f>
        <v>0</v>
      </c>
      <c r="L13" s="193">
        <f>'1.ยาทั่วไป'!L13+'2.ยาแพทย์ PCC'!L13+'3.ยาเรื้อรัง 25%'!L13+'4.ยาเรื้อรังฟรี'!L13</f>
        <v>0</v>
      </c>
      <c r="M13" s="193">
        <f>'1.ยาทั่วไป'!M13+'2.ยาแพทย์ PCC'!M13+'3.ยาเรื้อรัง 25%'!M13+'4.ยาเรื้อรังฟรี'!M13</f>
        <v>0</v>
      </c>
      <c r="N13" s="193">
        <f>'1.ยาทั่วไป'!N13+'2.ยาแพทย์ PCC'!N13+'3.ยาเรื้อรัง 25%'!N13+'4.ยาเรื้อรังฟรี'!N13</f>
        <v>0</v>
      </c>
      <c r="O13" s="315">
        <f t="shared" si="1"/>
        <v>125816.48</v>
      </c>
      <c r="P13" s="319">
        <f t="shared" si="0"/>
        <v>4.0858691872350431E-2</v>
      </c>
    </row>
    <row r="14" spans="1:17" ht="19.5" customHeight="1" x14ac:dyDescent="0.45">
      <c r="A14" s="25">
        <v>10</v>
      </c>
      <c r="B14" s="26" t="s">
        <v>7</v>
      </c>
      <c r="C14" s="193">
        <f>'1.ยาทั่วไป'!C14+'2.ยาแพทย์ PCC'!C14+'3.ยาเรื้อรัง 25%'!C14+'4.ยาเรื้อรังฟรี'!C14</f>
        <v>17633.059999999998</v>
      </c>
      <c r="D14" s="193">
        <f>'1.ยาทั่วไป'!D14+'2.ยาแพทย์ PCC'!D14+'3.ยาเรื้อรัง 25%'!D14+'4.ยาเรื้อรังฟรี'!D14</f>
        <v>6980.38</v>
      </c>
      <c r="E14" s="193">
        <f>'1.ยาทั่วไป'!E14+'2.ยาแพทย์ PCC'!E14+'3.ยาเรื้อรัง 25%'!E14+'4.ยาเรื้อรังฟรี'!E14</f>
        <v>5220.33</v>
      </c>
      <c r="F14" s="193">
        <f>'1.ยาทั่วไป'!F14+'2.ยาแพทย์ PCC'!F14+'3.ยาเรื้อรัง 25%'!F14+'4.ยาเรื้อรังฟรี'!F14</f>
        <v>13675.939999999999</v>
      </c>
      <c r="G14" s="193">
        <f>'1.ยาทั่วไป'!G14+'2.ยาแพทย์ PCC'!G14+'3.ยาเรื้อรัง 25%'!G14+'4.ยาเรื้อรังฟรี'!G14</f>
        <v>780</v>
      </c>
      <c r="H14" s="193">
        <f>'1.ยาทั่วไป'!H14+'2.ยาแพทย์ PCC'!H14+'3.ยาเรื้อรัง 25%'!H14+'4.ยาเรื้อรังฟรี'!H14</f>
        <v>22560.68</v>
      </c>
      <c r="I14" s="193">
        <f>'1.ยาทั่วไป'!I14+'2.ยาแพทย์ PCC'!I14+'3.ยาเรื้อรัง 25%'!I14+'4.ยาเรื้อรังฟรี'!I14</f>
        <v>9222</v>
      </c>
      <c r="J14" s="193">
        <f>'1.ยาทั่วไป'!J14+'2.ยาแพทย์ PCC'!J14+'3.ยาเรื้อรัง 25%'!J14+'4.ยาเรื้อรังฟรี'!J14</f>
        <v>12154.470000000001</v>
      </c>
      <c r="K14" s="193">
        <f>'1.ยาทั่วไป'!K14+'2.ยาแพทย์ PCC'!K14+'3.ยาเรื้อรัง 25%'!K14+'4.ยาเรื้อรังฟรี'!K14</f>
        <v>0</v>
      </c>
      <c r="L14" s="193">
        <f>'1.ยาทั่วไป'!L14+'2.ยาแพทย์ PCC'!L14+'3.ยาเรื้อรัง 25%'!L14+'4.ยาเรื้อรังฟรี'!L14</f>
        <v>0</v>
      </c>
      <c r="M14" s="193">
        <f>'1.ยาทั่วไป'!M14+'2.ยาแพทย์ PCC'!M14+'3.ยาเรื้อรัง 25%'!M14+'4.ยาเรื้อรังฟรี'!M14</f>
        <v>0</v>
      </c>
      <c r="N14" s="193">
        <f>'1.ยาทั่วไป'!N14+'2.ยาแพทย์ PCC'!N14+'3.ยาเรื้อรัง 25%'!N14+'4.ยาเรื้อรังฟรี'!N14</f>
        <v>0</v>
      </c>
      <c r="O14" s="315">
        <f t="shared" si="1"/>
        <v>88226.859999999986</v>
      </c>
      <c r="P14" s="319">
        <f t="shared" si="0"/>
        <v>2.8651525520384923E-2</v>
      </c>
    </row>
    <row r="15" spans="1:17" ht="19.5" customHeight="1" x14ac:dyDescent="0.45">
      <c r="A15" s="25">
        <v>11</v>
      </c>
      <c r="B15" s="26" t="s">
        <v>8</v>
      </c>
      <c r="C15" s="193">
        <f>'1.ยาทั่วไป'!C15+'2.ยาแพทย์ PCC'!C15+'3.ยาเรื้อรัง 25%'!C15+'4.ยาเรื้อรังฟรี'!C15</f>
        <v>27907.090000000004</v>
      </c>
      <c r="D15" s="193">
        <f>'1.ยาทั่วไป'!D15+'2.ยาแพทย์ PCC'!D15+'3.ยาเรื้อรัง 25%'!D15+'4.ยาเรื้อรังฟรี'!D15</f>
        <v>15677.63</v>
      </c>
      <c r="E15" s="193">
        <f>'1.ยาทั่วไป'!E15+'2.ยาแพทย์ PCC'!E15+'3.ยาเรื้อรัง 25%'!E15+'4.ยาเรื้อรังฟรี'!E15</f>
        <v>2373.1</v>
      </c>
      <c r="F15" s="193">
        <f>'1.ยาทั่วไป'!F15+'2.ยาแพทย์ PCC'!F15+'3.ยาเรื้อรัง 25%'!F15+'4.ยาเรื้อรังฟรี'!F15</f>
        <v>35588.490000000005</v>
      </c>
      <c r="G15" s="193">
        <f>'1.ยาทั่วไป'!G15+'2.ยาแพทย์ PCC'!G15+'3.ยาเรื้อรัง 25%'!G15+'4.ยาเรื้อรังฟรี'!G15</f>
        <v>18141.32</v>
      </c>
      <c r="H15" s="193">
        <f>'1.ยาทั่วไป'!H15+'2.ยาแพทย์ PCC'!H15+'3.ยาเรื้อรัง 25%'!H15+'4.ยาเรื้อรังฟรี'!H15</f>
        <v>21674.35</v>
      </c>
      <c r="I15" s="193">
        <f>'1.ยาทั่วไป'!I15+'2.ยาแพทย์ PCC'!I15+'3.ยาเรื้อรัง 25%'!I15+'4.ยาเรื้อรังฟรี'!I15</f>
        <v>23925.1</v>
      </c>
      <c r="J15" s="193">
        <f>'1.ยาทั่วไป'!J15+'2.ยาแพทย์ PCC'!J15+'3.ยาเรื้อรัง 25%'!J15+'4.ยาเรื้อรังฟรี'!J15</f>
        <v>24254.16</v>
      </c>
      <c r="K15" s="193">
        <f>'1.ยาทั่วไป'!K15+'2.ยาแพทย์ PCC'!K15+'3.ยาเรื้อรัง 25%'!K15+'4.ยาเรื้อรังฟรี'!K15</f>
        <v>0</v>
      </c>
      <c r="L15" s="193">
        <f>'1.ยาทั่วไป'!L15+'2.ยาแพทย์ PCC'!L15+'3.ยาเรื้อรัง 25%'!L15+'4.ยาเรื้อรังฟรี'!L15</f>
        <v>0</v>
      </c>
      <c r="M15" s="193">
        <f>'1.ยาทั่วไป'!M15+'2.ยาแพทย์ PCC'!M15+'3.ยาเรื้อรัง 25%'!M15+'4.ยาเรื้อรังฟรี'!M15</f>
        <v>0</v>
      </c>
      <c r="N15" s="193">
        <f>'1.ยาทั่วไป'!N15+'2.ยาแพทย์ PCC'!N15+'3.ยาเรื้อรัง 25%'!N15+'4.ยาเรื้อรังฟรี'!N15</f>
        <v>0</v>
      </c>
      <c r="O15" s="315">
        <f t="shared" si="1"/>
        <v>169541.24000000002</v>
      </c>
      <c r="P15" s="319">
        <f t="shared" si="0"/>
        <v>5.5058234698794749E-2</v>
      </c>
    </row>
    <row r="16" spans="1:17" ht="19.5" customHeight="1" x14ac:dyDescent="0.45">
      <c r="A16" s="25">
        <v>12</v>
      </c>
      <c r="B16" s="26" t="s">
        <v>9</v>
      </c>
      <c r="C16" s="193">
        <f>'1.ยาทั่วไป'!C16+'2.ยาแพทย์ PCC'!C16+'3.ยาเรื้อรัง 25%'!C16+'4.ยาเรื้อรังฟรี'!C16</f>
        <v>13270.55</v>
      </c>
      <c r="D16" s="193">
        <f>'1.ยาทั่วไป'!D16+'2.ยาแพทย์ PCC'!D16+'3.ยาเรื้อรัง 25%'!D16+'4.ยาเรื้อรังฟรี'!D16</f>
        <v>9146.1</v>
      </c>
      <c r="E16" s="193">
        <f>'1.ยาทั่วไป'!E16+'2.ยาแพทย์ PCC'!E16+'3.ยาเรื้อรัง 25%'!E16+'4.ยาเรื้อรังฟรี'!E16</f>
        <v>11570.3</v>
      </c>
      <c r="F16" s="193">
        <f>'1.ยาทั่วไป'!F16+'2.ยาแพทย์ PCC'!F16+'3.ยาเรื้อรัง 25%'!F16+'4.ยาเรื้อรังฟรี'!F16</f>
        <v>8068.3600000000006</v>
      </c>
      <c r="G16" s="193">
        <f>'1.ยาทั่วไป'!G16+'2.ยาแพทย์ PCC'!G16+'3.ยาเรื้อรัง 25%'!G16+'4.ยาเรื้อรังฟรี'!G16</f>
        <v>10562.09</v>
      </c>
      <c r="H16" s="193">
        <f>'1.ยาทั่วไป'!H16+'2.ยาแพทย์ PCC'!H16+'3.ยาเรื้อรัง 25%'!H16+'4.ยาเรื้อรังฟรี'!H16</f>
        <v>10041.67</v>
      </c>
      <c r="I16" s="193">
        <f>'1.ยาทั่วไป'!I16+'2.ยาแพทย์ PCC'!I16+'3.ยาเรื้อรัง 25%'!I16+'4.ยาเรื้อรังฟรี'!I16</f>
        <v>16007.08</v>
      </c>
      <c r="J16" s="193">
        <f>'1.ยาทั่วไป'!J16+'2.ยาแพทย์ PCC'!J16+'3.ยาเรื้อรัง 25%'!J16+'4.ยาเรื้อรังฟรี'!J16</f>
        <v>15214.369999999999</v>
      </c>
      <c r="K16" s="193">
        <f>'1.ยาทั่วไป'!K16+'2.ยาแพทย์ PCC'!K16+'3.ยาเรื้อรัง 25%'!K16+'4.ยาเรื้อรังฟรี'!K16</f>
        <v>0</v>
      </c>
      <c r="L16" s="193">
        <f>'1.ยาทั่วไป'!L16+'2.ยาแพทย์ PCC'!L16+'3.ยาเรื้อรัง 25%'!L16+'4.ยาเรื้อรังฟรี'!L16</f>
        <v>0</v>
      </c>
      <c r="M16" s="193">
        <f>'1.ยาทั่วไป'!M16+'2.ยาแพทย์ PCC'!M16+'3.ยาเรื้อรัง 25%'!M16+'4.ยาเรื้อรังฟรี'!M16</f>
        <v>0</v>
      </c>
      <c r="N16" s="193">
        <f>'1.ยาทั่วไป'!N16+'2.ยาแพทย์ PCC'!N16+'3.ยาเรื้อรัง 25%'!N16+'4.ยาเรื้อรังฟรี'!N16</f>
        <v>0</v>
      </c>
      <c r="O16" s="315">
        <f t="shared" si="1"/>
        <v>93880.51999999999</v>
      </c>
      <c r="P16" s="319">
        <f t="shared" si="0"/>
        <v>3.0487542168530165E-2</v>
      </c>
    </row>
    <row r="17" spans="1:16" ht="19.5" customHeight="1" x14ac:dyDescent="0.45">
      <c r="A17" s="25">
        <v>13</v>
      </c>
      <c r="B17" s="26" t="s">
        <v>10</v>
      </c>
      <c r="C17" s="193">
        <f>'1.ยาทั่วไป'!C17+'2.ยาแพทย์ PCC'!C17+'3.ยาเรื้อรัง 25%'!C17+'4.ยาเรื้อรังฟรี'!C17</f>
        <v>14321</v>
      </c>
      <c r="D17" s="193">
        <f>'1.ยาทั่วไป'!D17+'2.ยาแพทย์ PCC'!D17+'3.ยาเรื้อรัง 25%'!D17+'4.ยาเรื้อรังฟรี'!D17</f>
        <v>355.44</v>
      </c>
      <c r="E17" s="193">
        <f>'1.ยาทั่วไป'!E17+'2.ยาแพทย์ PCC'!E17+'3.ยาเรื้อรัง 25%'!E17+'4.ยาเรื้อรังฟรี'!E17</f>
        <v>15658.08</v>
      </c>
      <c r="F17" s="193">
        <f>'1.ยาทั่วไป'!F17+'2.ยาแพทย์ PCC'!F17+'3.ยาเรื้อรัง 25%'!F17+'4.ยาเรื้อรังฟรี'!F17</f>
        <v>43357.509999999995</v>
      </c>
      <c r="G17" s="193">
        <f>'1.ยาทั่วไป'!G17+'2.ยาแพทย์ PCC'!G17+'3.ยาเรื้อรัง 25%'!G17+'4.ยาเรื้อรังฟรี'!G17</f>
        <v>0</v>
      </c>
      <c r="H17" s="193">
        <f>'1.ยาทั่วไป'!H17+'2.ยาแพทย์ PCC'!H17+'3.ยาเรื้อรัง 25%'!H17+'4.ยาเรื้อรังฟรี'!H17</f>
        <v>28873.340000000004</v>
      </c>
      <c r="I17" s="193">
        <f>'1.ยาทั่วไป'!I17+'2.ยาแพทย์ PCC'!I17+'3.ยาเรื้อรัง 25%'!I17+'4.ยาเรื้อรังฟรี'!I17</f>
        <v>31990.22</v>
      </c>
      <c r="J17" s="193">
        <f>'1.ยาทั่วไป'!J17+'2.ยาแพทย์ PCC'!J17+'3.ยาเรื้อรัง 25%'!J17+'4.ยาเรื้อรังฟรี'!J17</f>
        <v>0</v>
      </c>
      <c r="K17" s="193">
        <f>'1.ยาทั่วไป'!K17+'2.ยาแพทย์ PCC'!K17+'3.ยาเรื้อรัง 25%'!K17+'4.ยาเรื้อรังฟรี'!K17</f>
        <v>0</v>
      </c>
      <c r="L17" s="193">
        <f>'1.ยาทั่วไป'!L17+'2.ยาแพทย์ PCC'!L17+'3.ยาเรื้อรัง 25%'!L17+'4.ยาเรื้อรังฟรี'!L17</f>
        <v>0</v>
      </c>
      <c r="M17" s="193">
        <f>'1.ยาทั่วไป'!M17+'2.ยาแพทย์ PCC'!M17+'3.ยาเรื้อรัง 25%'!M17+'4.ยาเรื้อรังฟรี'!M17</f>
        <v>0</v>
      </c>
      <c r="N17" s="193">
        <f>'1.ยาทั่วไป'!N17+'2.ยาแพทย์ PCC'!N17+'3.ยาเรื้อรัง 25%'!N17+'4.ยาเรื้อรังฟรี'!N17</f>
        <v>0</v>
      </c>
      <c r="O17" s="315">
        <f t="shared" si="1"/>
        <v>134555.59</v>
      </c>
      <c r="P17" s="319">
        <f t="shared" si="0"/>
        <v>4.3696703257890518E-2</v>
      </c>
    </row>
    <row r="18" spans="1:16" ht="19.5" customHeight="1" x14ac:dyDescent="0.45">
      <c r="A18" s="25">
        <v>14</v>
      </c>
      <c r="B18" s="26" t="s">
        <v>11</v>
      </c>
      <c r="C18" s="193">
        <f>'1.ยาทั่วไป'!C18+'2.ยาแพทย์ PCC'!C18+'3.ยาเรื้อรัง 25%'!C18+'4.ยาเรื้อรังฟรี'!C18</f>
        <v>14044.2</v>
      </c>
      <c r="D18" s="193">
        <f>'1.ยาทั่วไป'!D18+'2.ยาแพทย์ PCC'!D18+'3.ยาเรื้อรัง 25%'!D18+'4.ยาเรื้อรังฟรี'!D18</f>
        <v>7097.82</v>
      </c>
      <c r="E18" s="193">
        <f>'1.ยาทั่วไป'!E18+'2.ยาแพทย์ PCC'!E18+'3.ยาเรื้อรัง 25%'!E18+'4.ยาเรื้อรังฟรี'!E18</f>
        <v>10179.59</v>
      </c>
      <c r="F18" s="193">
        <f>'1.ยาทั่วไป'!F18+'2.ยาแพทย์ PCC'!F18+'3.ยาเรื้อรัง 25%'!F18+'4.ยาเรื้อรังฟรี'!F18</f>
        <v>6616.52</v>
      </c>
      <c r="G18" s="193">
        <f>'1.ยาทั่วไป'!G18+'2.ยาแพทย์ PCC'!G18+'3.ยาเรื้อรัง 25%'!G18+'4.ยาเรื้อรังฟรี'!G18</f>
        <v>11227.51</v>
      </c>
      <c r="H18" s="193">
        <f>'1.ยาทั่วไป'!H18+'2.ยาแพทย์ PCC'!H18+'3.ยาเรื้อรัง 25%'!H18+'4.ยาเรื้อรังฟรี'!H18</f>
        <v>2236</v>
      </c>
      <c r="I18" s="193">
        <f>'1.ยาทั่วไป'!I18+'2.ยาแพทย์ PCC'!I18+'3.ยาเรื้อรัง 25%'!I18+'4.ยาเรื้อรังฟรี'!I18</f>
        <v>10163.44</v>
      </c>
      <c r="J18" s="193">
        <f>'1.ยาทั่วไป'!J18+'2.ยาแพทย์ PCC'!J18+'3.ยาเรื้อรัง 25%'!J18+'4.ยาเรื้อรังฟรี'!J18</f>
        <v>2675.12</v>
      </c>
      <c r="K18" s="193">
        <f>'1.ยาทั่วไป'!K18+'2.ยาแพทย์ PCC'!K18+'3.ยาเรื้อรัง 25%'!K18+'4.ยาเรื้อรังฟรี'!K18</f>
        <v>0</v>
      </c>
      <c r="L18" s="193">
        <f>'1.ยาทั่วไป'!L18+'2.ยาแพทย์ PCC'!L18+'3.ยาเรื้อรัง 25%'!L18+'4.ยาเรื้อรังฟรี'!L18</f>
        <v>0</v>
      </c>
      <c r="M18" s="193">
        <f>'1.ยาทั่วไป'!M18+'2.ยาแพทย์ PCC'!M18+'3.ยาเรื้อรัง 25%'!M18+'4.ยาเรื้อรังฟรี'!M18</f>
        <v>0</v>
      </c>
      <c r="N18" s="193">
        <f>'1.ยาทั่วไป'!N18+'2.ยาแพทย์ PCC'!N18+'3.ยาเรื้อรัง 25%'!N18+'4.ยาเรื้อรังฟรี'!N18</f>
        <v>0</v>
      </c>
      <c r="O18" s="315">
        <f t="shared" si="1"/>
        <v>64240.200000000012</v>
      </c>
      <c r="P18" s="319">
        <f t="shared" si="0"/>
        <v>2.086189772292284E-2</v>
      </c>
    </row>
    <row r="19" spans="1:16" ht="19.5" customHeight="1" x14ac:dyDescent="0.45">
      <c r="A19" s="25">
        <v>15</v>
      </c>
      <c r="B19" s="26" t="s">
        <v>12</v>
      </c>
      <c r="C19" s="193">
        <f>'1.ยาทั่วไป'!C19+'2.ยาแพทย์ PCC'!C19+'3.ยาเรื้อรัง 25%'!C19+'4.ยาเรื้อรังฟรี'!C19</f>
        <v>8560</v>
      </c>
      <c r="D19" s="193">
        <f>'1.ยาทั่วไป'!D19+'2.ยาแพทย์ PCC'!D19+'3.ยาเรื้อรัง 25%'!D19+'4.ยาเรื้อรังฟรี'!D19</f>
        <v>18335.96</v>
      </c>
      <c r="E19" s="193">
        <f>'1.ยาทั่วไป'!E19+'2.ยาแพทย์ PCC'!E19+'3.ยาเรื้อรัง 25%'!E19+'4.ยาเรื้อรังฟรี'!E19</f>
        <v>26410.31</v>
      </c>
      <c r="F19" s="193">
        <f>'1.ยาทั่วไป'!F19+'2.ยาแพทย์ PCC'!F19+'3.ยาเรื้อรัง 25%'!F19+'4.ยาเรื้อรังฟรี'!F19</f>
        <v>13477.5</v>
      </c>
      <c r="G19" s="193">
        <f>'1.ยาทั่วไป'!G19+'2.ยาแพทย์ PCC'!G19+'3.ยาเรื้อรัง 25%'!G19+'4.ยาเรื้อรังฟรี'!G19</f>
        <v>47333.1</v>
      </c>
      <c r="H19" s="193">
        <f>'1.ยาทั่วไป'!H19+'2.ยาแพทย์ PCC'!H19+'3.ยาเรื้อรัง 25%'!H19+'4.ยาเรื้อรังฟรี'!H19</f>
        <v>21755.760000000002</v>
      </c>
      <c r="I19" s="193">
        <f>'1.ยาทั่วไป'!I19+'2.ยาแพทย์ PCC'!I19+'3.ยาเรื้อรัง 25%'!I19+'4.ยาเรื้อรังฟรี'!I19</f>
        <v>1108.6600000000001</v>
      </c>
      <c r="J19" s="193">
        <f>'1.ยาทั่วไป'!J19+'2.ยาแพทย์ PCC'!J19+'3.ยาเรื้อรัง 25%'!J19+'4.ยาเรื้อรังฟรี'!J19</f>
        <v>50295.38</v>
      </c>
      <c r="K19" s="193">
        <f>'1.ยาทั่วไป'!K19+'2.ยาแพทย์ PCC'!K19+'3.ยาเรื้อรัง 25%'!K19+'4.ยาเรื้อรังฟรี'!K19</f>
        <v>0</v>
      </c>
      <c r="L19" s="193">
        <f>'1.ยาทั่วไป'!L19+'2.ยาแพทย์ PCC'!L19+'3.ยาเรื้อรัง 25%'!L19+'4.ยาเรื้อรังฟรี'!L19</f>
        <v>0</v>
      </c>
      <c r="M19" s="193">
        <f>'1.ยาทั่วไป'!M19+'2.ยาแพทย์ PCC'!M19+'3.ยาเรื้อรัง 25%'!M19+'4.ยาเรื้อรังฟรี'!M19</f>
        <v>0</v>
      </c>
      <c r="N19" s="193">
        <f>'1.ยาทั่วไป'!N19+'2.ยาแพทย์ PCC'!N19+'3.ยาเรื้อรัง 25%'!N19+'4.ยาเรื้อรังฟรี'!N19</f>
        <v>0</v>
      </c>
      <c r="O19" s="315">
        <f t="shared" si="1"/>
        <v>187276.67</v>
      </c>
      <c r="P19" s="319">
        <f t="shared" si="0"/>
        <v>6.0817785988050654E-2</v>
      </c>
    </row>
    <row r="20" spans="1:16" ht="19.5" customHeight="1" x14ac:dyDescent="0.45">
      <c r="A20" s="25">
        <v>16</v>
      </c>
      <c r="B20" s="26" t="s">
        <v>13</v>
      </c>
      <c r="C20" s="193">
        <f>'1.ยาทั่วไป'!C20+'2.ยาแพทย์ PCC'!C20+'3.ยาเรื้อรัง 25%'!C20+'4.ยาเรื้อรังฟรี'!C20</f>
        <v>18142.18</v>
      </c>
      <c r="D20" s="193">
        <f>'1.ยาทั่วไป'!D20+'2.ยาแพทย์ PCC'!D20+'3.ยาเรื้อรัง 25%'!D20+'4.ยาเรื้อรังฟรี'!D20</f>
        <v>0</v>
      </c>
      <c r="E20" s="193">
        <f>'1.ยาทั่วไป'!E20+'2.ยาแพทย์ PCC'!E20+'3.ยาเรื้อรัง 25%'!E20+'4.ยาเรื้อรังฟรี'!E20</f>
        <v>11166</v>
      </c>
      <c r="F20" s="193">
        <f>'1.ยาทั่วไป'!F20+'2.ยาแพทย์ PCC'!F20+'3.ยาเรื้อรัง 25%'!F20+'4.ยาเรื้อรังฟรี'!F20</f>
        <v>13952.2</v>
      </c>
      <c r="G20" s="193">
        <f>'1.ยาทั่วไป'!G20+'2.ยาแพทย์ PCC'!G20+'3.ยาเรื้อรัง 25%'!G20+'4.ยาเรื้อรังฟรี'!G20</f>
        <v>18005.449999999997</v>
      </c>
      <c r="H20" s="193">
        <f>'1.ยาทั่วไป'!H20+'2.ยาแพทย์ PCC'!H20+'3.ยาเรื้อรัง 25%'!H20+'4.ยาเรื้อรังฟรี'!H20</f>
        <v>4568</v>
      </c>
      <c r="I20" s="193">
        <f>'1.ยาทั่วไป'!I20+'2.ยาแพทย์ PCC'!I20+'3.ยาเรื้อรัง 25%'!I20+'4.ยาเรื้อรังฟรี'!I20</f>
        <v>15826.32</v>
      </c>
      <c r="J20" s="193">
        <f>'1.ยาทั่วไป'!J20+'2.ยาแพทย์ PCC'!J20+'3.ยาเรื้อรัง 25%'!J20+'4.ยาเรื้อรังฟรี'!J20</f>
        <v>7356.54</v>
      </c>
      <c r="K20" s="193">
        <f>'1.ยาทั่วไป'!K20+'2.ยาแพทย์ PCC'!K20+'3.ยาเรื้อรัง 25%'!K20+'4.ยาเรื้อรังฟรี'!K20</f>
        <v>0</v>
      </c>
      <c r="L20" s="193">
        <f>'1.ยาทั่วไป'!L20+'2.ยาแพทย์ PCC'!L20+'3.ยาเรื้อรัง 25%'!L20+'4.ยาเรื้อรังฟรี'!L20</f>
        <v>0</v>
      </c>
      <c r="M20" s="193">
        <f>'1.ยาทั่วไป'!M20+'2.ยาแพทย์ PCC'!M20+'3.ยาเรื้อรัง 25%'!M20+'4.ยาเรื้อรังฟรี'!M20</f>
        <v>0</v>
      </c>
      <c r="N20" s="193">
        <f>'1.ยาทั่วไป'!N20+'2.ยาแพทย์ PCC'!N20+'3.ยาเรื้อรัง 25%'!N20+'4.ยาเรื้อรังฟรี'!N20</f>
        <v>0</v>
      </c>
      <c r="O20" s="315">
        <f t="shared" si="1"/>
        <v>89016.689999999988</v>
      </c>
      <c r="P20" s="319">
        <f t="shared" si="0"/>
        <v>2.8908021494533448E-2</v>
      </c>
    </row>
    <row r="21" spans="1:16" ht="19.5" customHeight="1" x14ac:dyDescent="0.45">
      <c r="A21" s="25">
        <v>17</v>
      </c>
      <c r="B21" s="26" t="s">
        <v>14</v>
      </c>
      <c r="C21" s="193">
        <f>'1.ยาทั่วไป'!C21+'2.ยาแพทย์ PCC'!C21+'3.ยาเรื้อรัง 25%'!C21+'4.ยาเรื้อรังฟรี'!C21</f>
        <v>18107.11</v>
      </c>
      <c r="D21" s="193">
        <f>'1.ยาทั่วไป'!D21+'2.ยาแพทย์ PCC'!D21+'3.ยาเรื้อรัง 25%'!D21+'4.ยาเรื้อรังฟรี'!D21</f>
        <v>17908.989999999998</v>
      </c>
      <c r="E21" s="193">
        <f>'1.ยาทั่วไป'!E21+'2.ยาแพทย์ PCC'!E21+'3.ยาเรื้อรัง 25%'!E21+'4.ยาเรื้อรังฟรี'!E21</f>
        <v>14141.57</v>
      </c>
      <c r="F21" s="193">
        <f>'1.ยาทั่วไป'!F21+'2.ยาแพทย์ PCC'!F21+'3.ยาเรื้อรัง 25%'!F21+'4.ยาเรื้อรังฟรี'!F21</f>
        <v>18817.66</v>
      </c>
      <c r="G21" s="193">
        <f>'1.ยาทั่วไป'!G21+'2.ยาแพทย์ PCC'!G21+'3.ยาเรื้อรัง 25%'!G21+'4.ยาเรื้อรังฟรี'!G21</f>
        <v>19003.87</v>
      </c>
      <c r="H21" s="193">
        <f>'1.ยาทั่วไป'!H21+'2.ยาแพทย์ PCC'!H21+'3.ยาเรื้อรัง 25%'!H21+'4.ยาเรื้อรังฟรี'!H21</f>
        <v>17872.96</v>
      </c>
      <c r="I21" s="193">
        <f>'1.ยาทั่วไป'!I21+'2.ยาแพทย์ PCC'!I21+'3.ยาเรื้อรัง 25%'!I21+'4.ยาเรื้อรังฟรี'!I21</f>
        <v>13940.77</v>
      </c>
      <c r="J21" s="193">
        <f>'1.ยาทั่วไป'!J21+'2.ยาแพทย์ PCC'!J21+'3.ยาเรื้อรัง 25%'!J21+'4.ยาเรื้อรังฟรี'!J21</f>
        <v>17030.849999999999</v>
      </c>
      <c r="K21" s="193">
        <f>'1.ยาทั่วไป'!K21+'2.ยาแพทย์ PCC'!K21+'3.ยาเรื้อรัง 25%'!K21+'4.ยาเรื้อรังฟรี'!K21</f>
        <v>0</v>
      </c>
      <c r="L21" s="193">
        <f>'1.ยาทั่วไป'!L21+'2.ยาแพทย์ PCC'!L21+'3.ยาเรื้อรัง 25%'!L21+'4.ยาเรื้อรังฟรี'!L21</f>
        <v>0</v>
      </c>
      <c r="M21" s="193">
        <f>'1.ยาทั่วไป'!M21+'2.ยาแพทย์ PCC'!M21+'3.ยาเรื้อรัง 25%'!M21+'4.ยาเรื้อรังฟรี'!M21</f>
        <v>0</v>
      </c>
      <c r="N21" s="193">
        <f>'1.ยาทั่วไป'!N21+'2.ยาแพทย์ PCC'!N21+'3.ยาเรื้อรัง 25%'!N21+'4.ยาเรื้อรังฟรี'!N21</f>
        <v>0</v>
      </c>
      <c r="O21" s="315">
        <f t="shared" si="1"/>
        <v>136823.78</v>
      </c>
      <c r="P21" s="319">
        <f t="shared" si="0"/>
        <v>4.4433294174421857E-2</v>
      </c>
    </row>
    <row r="22" spans="1:16" ht="19.5" customHeight="1" x14ac:dyDescent="0.45">
      <c r="A22" s="25">
        <v>18</v>
      </c>
      <c r="B22" s="26" t="s">
        <v>15</v>
      </c>
      <c r="C22" s="193">
        <f>'1.ยาทั่วไป'!C22+'2.ยาแพทย์ PCC'!C22+'3.ยาเรื้อรัง 25%'!C22+'4.ยาเรื้อรังฟรี'!C22</f>
        <v>5520.1799999999994</v>
      </c>
      <c r="D22" s="193">
        <f>'1.ยาทั่วไป'!D22+'2.ยาแพทย์ PCC'!D22+'3.ยาเรื้อรัง 25%'!D22+'4.ยาเรื้อรังฟรี'!D22</f>
        <v>3503.1</v>
      </c>
      <c r="E22" s="193">
        <f>'1.ยาทั่วไป'!E22+'2.ยาแพทย์ PCC'!E22+'3.ยาเรื้อรัง 25%'!E22+'4.ยาเรื้อรังฟรี'!E22</f>
        <v>11983.75</v>
      </c>
      <c r="F22" s="193">
        <f>'1.ยาทั่วไป'!F22+'2.ยาแพทย์ PCC'!F22+'3.ยาเรื้อรัง 25%'!F22+'4.ยาเรื้อรังฟรี'!F22</f>
        <v>8402.0300000000007</v>
      </c>
      <c r="G22" s="193">
        <f>'1.ยาทั่วไป'!G22+'2.ยาแพทย์ PCC'!G22+'3.ยาเรื้อรัง 25%'!G22+'4.ยาเรื้อรังฟรี'!G22</f>
        <v>7571.19</v>
      </c>
      <c r="H22" s="193">
        <f>'1.ยาทั่วไป'!H22+'2.ยาแพทย์ PCC'!H22+'3.ยาเรื้อรัง 25%'!H22+'4.ยาเรื้อรังฟรี'!H22</f>
        <v>4722.6499999999996</v>
      </c>
      <c r="I22" s="193">
        <f>'1.ยาทั่วไป'!I22+'2.ยาแพทย์ PCC'!I22+'3.ยาเรื้อรัง 25%'!I22+'4.ยาเรื้อรังฟรี'!I22</f>
        <v>9460</v>
      </c>
      <c r="J22" s="193">
        <f>'1.ยาทั่วไป'!J22+'2.ยาแพทย์ PCC'!J22+'3.ยาเรื้อรัง 25%'!J22+'4.ยาเรื้อรังฟรี'!J22</f>
        <v>8752.09</v>
      </c>
      <c r="K22" s="193">
        <f>'1.ยาทั่วไป'!K22+'2.ยาแพทย์ PCC'!K22+'3.ยาเรื้อรัง 25%'!K22+'4.ยาเรื้อรังฟรี'!K22</f>
        <v>0</v>
      </c>
      <c r="L22" s="193">
        <f>'1.ยาทั่วไป'!L22+'2.ยาแพทย์ PCC'!L22+'3.ยาเรื้อรัง 25%'!L22+'4.ยาเรื้อรังฟรี'!L22</f>
        <v>0</v>
      </c>
      <c r="M22" s="193">
        <f>'1.ยาทั่วไป'!M22+'2.ยาแพทย์ PCC'!M22+'3.ยาเรื้อรัง 25%'!M22+'4.ยาเรื้อรังฟรี'!M22</f>
        <v>0</v>
      </c>
      <c r="N22" s="193">
        <f>'1.ยาทั่วไป'!N22+'2.ยาแพทย์ PCC'!N22+'3.ยาเรื้อรัง 25%'!N22+'4.ยาเรื้อรังฟรี'!N22</f>
        <v>0</v>
      </c>
      <c r="O22" s="315">
        <f t="shared" si="1"/>
        <v>59914.990000000005</v>
      </c>
      <c r="P22" s="319">
        <f t="shared" si="0"/>
        <v>1.9457292994883961E-2</v>
      </c>
    </row>
    <row r="23" spans="1:16" s="171" customFormat="1" ht="19.5" customHeight="1" x14ac:dyDescent="0.45">
      <c r="A23" s="45">
        <v>5.486111111111111E-2</v>
      </c>
      <c r="B23" s="154" t="s">
        <v>22</v>
      </c>
      <c r="C23" s="195">
        <f t="shared" ref="C23:N23" si="2">SUM(C5:C22)</f>
        <v>321287.77999999997</v>
      </c>
      <c r="D23" s="195">
        <f t="shared" si="2"/>
        <v>397104.76</v>
      </c>
      <c r="E23" s="195">
        <f t="shared" si="2"/>
        <v>322466.82</v>
      </c>
      <c r="F23" s="195">
        <f t="shared" si="2"/>
        <v>457012.75000000006</v>
      </c>
      <c r="G23" s="195">
        <f t="shared" si="2"/>
        <v>376737.46</v>
      </c>
      <c r="H23" s="195">
        <f t="shared" si="2"/>
        <v>361141.24000000005</v>
      </c>
      <c r="I23" s="195">
        <f t="shared" si="2"/>
        <v>395443.09</v>
      </c>
      <c r="J23" s="195">
        <f t="shared" si="2"/>
        <v>448113.69</v>
      </c>
      <c r="K23" s="195">
        <f t="shared" si="2"/>
        <v>0</v>
      </c>
      <c r="L23" s="195">
        <f t="shared" si="2"/>
        <v>0</v>
      </c>
      <c r="M23" s="195">
        <f t="shared" si="2"/>
        <v>0</v>
      </c>
      <c r="N23" s="195">
        <f t="shared" si="2"/>
        <v>0</v>
      </c>
      <c r="O23" s="316">
        <f t="shared" si="1"/>
        <v>3079307.59</v>
      </c>
      <c r="P23" s="320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3">
        <f>'1.ยาทั่วไป'!C24</f>
        <v>26307.55</v>
      </c>
      <c r="D24" s="193">
        <f>'1.ยาทั่วไป'!D24</f>
        <v>9518.1</v>
      </c>
      <c r="E24" s="193">
        <f>'1.ยาทั่วไป'!E24</f>
        <v>40425.450000000004</v>
      </c>
      <c r="F24" s="193">
        <f>'1.ยาทั่วไป'!F24</f>
        <v>72376.180000000008</v>
      </c>
      <c r="G24" s="193">
        <f>'1.ยาทั่วไป'!G24</f>
        <v>54101.73</v>
      </c>
      <c r="H24" s="193">
        <f>'1.ยาทั่วไป'!H24</f>
        <v>46792.42</v>
      </c>
      <c r="I24" s="193">
        <f>'1.ยาทั่วไป'!I24</f>
        <v>35358.119999999995</v>
      </c>
      <c r="J24" s="193">
        <f>'1.ยาทั่วไป'!J24</f>
        <v>21692.93</v>
      </c>
      <c r="K24" s="193">
        <f>'1.ยาทั่วไป'!K24</f>
        <v>0</v>
      </c>
      <c r="L24" s="193">
        <f>'1.ยาทั่วไป'!L24</f>
        <v>0</v>
      </c>
      <c r="M24" s="193">
        <f>'1.ยาทั่วไป'!M24</f>
        <v>0</v>
      </c>
      <c r="N24" s="193">
        <f>'1.ยาทั่วไป'!N24</f>
        <v>0</v>
      </c>
      <c r="O24" s="315">
        <f t="shared" si="1"/>
        <v>306572.48000000004</v>
      </c>
      <c r="P24" s="319">
        <f t="shared" si="0"/>
        <v>9.9558901161932986E-2</v>
      </c>
    </row>
    <row r="25" spans="1:16" ht="19.5" customHeight="1" x14ac:dyDescent="0.45">
      <c r="A25" s="30">
        <v>21</v>
      </c>
      <c r="B25" s="26" t="s">
        <v>17</v>
      </c>
      <c r="C25" s="193">
        <f>'1.ยาทั่วไป'!C25</f>
        <v>0</v>
      </c>
      <c r="D25" s="193">
        <f>'1.ยาทั่วไป'!D25</f>
        <v>0</v>
      </c>
      <c r="E25" s="193">
        <f>'1.ยาทั่วไป'!E25</f>
        <v>0</v>
      </c>
      <c r="F25" s="193">
        <f>'1.ยาทั่วไป'!F25</f>
        <v>0</v>
      </c>
      <c r="G25" s="193">
        <f>'1.ยาทั่วไป'!G25</f>
        <v>0</v>
      </c>
      <c r="H25" s="193">
        <f>'1.ยาทั่วไป'!H25</f>
        <v>0</v>
      </c>
      <c r="I25" s="193">
        <f>'1.ยาทั่วไป'!I25</f>
        <v>0</v>
      </c>
      <c r="J25" s="193">
        <f>'1.ยาทั่วไป'!J25</f>
        <v>0</v>
      </c>
      <c r="K25" s="193">
        <f>'1.ยาทั่วไป'!K25</f>
        <v>0</v>
      </c>
      <c r="L25" s="193">
        <f>'1.ยาทั่วไป'!L25</f>
        <v>0</v>
      </c>
      <c r="M25" s="193">
        <f>'1.ยาทั่วไป'!M25</f>
        <v>0</v>
      </c>
      <c r="N25" s="193">
        <f>'1.ยาทั่วไป'!N25</f>
        <v>0</v>
      </c>
      <c r="O25" s="315">
        <f t="shared" si="1"/>
        <v>0</v>
      </c>
      <c r="P25" s="319">
        <f t="shared" si="0"/>
        <v>0</v>
      </c>
    </row>
    <row r="26" spans="1:16" s="171" customFormat="1" ht="19.5" customHeight="1" x14ac:dyDescent="0.45">
      <c r="A26" s="49" t="s">
        <v>24</v>
      </c>
      <c r="B26" s="152" t="s">
        <v>23</v>
      </c>
      <c r="C26" s="196">
        <f>C24+C25</f>
        <v>26307.55</v>
      </c>
      <c r="D26" s="196">
        <f t="shared" ref="D26:N26" si="3">D24+D25</f>
        <v>9518.1</v>
      </c>
      <c r="E26" s="196">
        <f t="shared" si="3"/>
        <v>40425.450000000004</v>
      </c>
      <c r="F26" s="196">
        <f t="shared" si="3"/>
        <v>72376.180000000008</v>
      </c>
      <c r="G26" s="196">
        <f t="shared" si="3"/>
        <v>54101.73</v>
      </c>
      <c r="H26" s="196">
        <f t="shared" si="3"/>
        <v>46792.42</v>
      </c>
      <c r="I26" s="196">
        <f t="shared" si="3"/>
        <v>35358.119999999995</v>
      </c>
      <c r="J26" s="196">
        <f t="shared" si="3"/>
        <v>21692.93</v>
      </c>
      <c r="K26" s="196">
        <f t="shared" si="3"/>
        <v>0</v>
      </c>
      <c r="L26" s="196">
        <f t="shared" si="3"/>
        <v>0</v>
      </c>
      <c r="M26" s="196">
        <f t="shared" si="3"/>
        <v>0</v>
      </c>
      <c r="N26" s="196">
        <f t="shared" si="3"/>
        <v>0</v>
      </c>
      <c r="O26" s="317">
        <f t="shared" si="1"/>
        <v>306572.48000000004</v>
      </c>
      <c r="P26" s="324">
        <f t="shared" si="0"/>
        <v>9.9558901161932986E-2</v>
      </c>
    </row>
    <row r="27" spans="1:16" s="207" customFormat="1" ht="19.5" customHeight="1" x14ac:dyDescent="0.45">
      <c r="A27" s="203" t="s">
        <v>26</v>
      </c>
      <c r="B27" s="204" t="s">
        <v>25</v>
      </c>
      <c r="C27" s="205">
        <f>C23+C26</f>
        <v>347595.32999999996</v>
      </c>
      <c r="D27" s="205">
        <f t="shared" ref="D27:N27" si="4">D23+D26</f>
        <v>406622.86</v>
      </c>
      <c r="E27" s="205">
        <f t="shared" si="4"/>
        <v>362892.27</v>
      </c>
      <c r="F27" s="205">
        <f t="shared" si="4"/>
        <v>529388.93000000005</v>
      </c>
      <c r="G27" s="205">
        <f t="shared" si="4"/>
        <v>430839.19</v>
      </c>
      <c r="H27" s="205">
        <f t="shared" si="4"/>
        <v>407933.66000000003</v>
      </c>
      <c r="I27" s="205">
        <f t="shared" si="4"/>
        <v>430801.21</v>
      </c>
      <c r="J27" s="205">
        <f t="shared" si="4"/>
        <v>469806.62</v>
      </c>
      <c r="K27" s="205">
        <f t="shared" si="4"/>
        <v>0</v>
      </c>
      <c r="L27" s="205">
        <f t="shared" si="4"/>
        <v>0</v>
      </c>
      <c r="M27" s="205">
        <f t="shared" si="4"/>
        <v>0</v>
      </c>
      <c r="N27" s="205">
        <f t="shared" si="4"/>
        <v>0</v>
      </c>
      <c r="O27" s="205">
        <f t="shared" si="1"/>
        <v>3385880.0700000003</v>
      </c>
      <c r="P27" s="325">
        <f t="shared" si="0"/>
        <v>1.0995589011619331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48</v>
      </c>
      <c r="I30" s="109"/>
      <c r="J30" s="109"/>
      <c r="K30" s="109"/>
      <c r="L30" s="111"/>
      <c r="M30" s="109" t="s">
        <v>49</v>
      </c>
      <c r="N30" s="112"/>
    </row>
    <row r="31" spans="1:16" ht="19.5" customHeight="1" x14ac:dyDescent="0.45">
      <c r="G31" s="109"/>
      <c r="H31" s="109" t="s">
        <v>50</v>
      </c>
      <c r="I31" s="109"/>
      <c r="J31" s="109"/>
      <c r="K31" s="109"/>
      <c r="L31" s="111"/>
      <c r="M31" s="109" t="s">
        <v>51</v>
      </c>
      <c r="N31" s="112"/>
    </row>
    <row r="32" spans="1:16" ht="19.5" customHeight="1" x14ac:dyDescent="0.45">
      <c r="G32" s="109"/>
      <c r="H32" s="111" t="s">
        <v>52</v>
      </c>
      <c r="I32" s="111"/>
      <c r="J32" s="111"/>
      <c r="K32" s="109"/>
      <c r="L32" s="111"/>
      <c r="M32" s="109" t="s">
        <v>53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4" workbookViewId="0">
      <selection activeCell="B2" sqref="B2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4" customWidth="1"/>
    <col min="16" max="16" width="12.625" style="329" customWidth="1"/>
    <col min="17" max="16384" width="9" style="27"/>
  </cols>
  <sheetData>
    <row r="1" spans="1:17" s="68" customFormat="1" ht="20.25" customHeight="1" x14ac:dyDescent="0.2">
      <c r="A1" s="80"/>
      <c r="C1" s="148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2562</v>
      </c>
      <c r="L1" s="82"/>
      <c r="M1" s="82"/>
      <c r="N1" s="82"/>
      <c r="O1" s="148"/>
      <c r="P1" s="328"/>
      <c r="Q1" s="83"/>
    </row>
    <row r="2" spans="1:17" s="68" customFormat="1" ht="20.25" customHeight="1" x14ac:dyDescent="0.2">
      <c r="A2" s="80"/>
      <c r="C2" s="149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>รายงานข้อมูลณ วันที่ 27/5/62</v>
      </c>
      <c r="O2" s="148"/>
      <c r="P2" s="328"/>
      <c r="Q2" s="83"/>
    </row>
    <row r="3" spans="1:17" ht="4.5" customHeight="1" x14ac:dyDescent="0.2"/>
    <row r="4" spans="1:17" s="55" customFormat="1" ht="28.5" customHeight="1" x14ac:dyDescent="0.2">
      <c r="A4" s="200" t="s">
        <v>0</v>
      </c>
      <c r="B4" s="169" t="s">
        <v>1</v>
      </c>
      <c r="C4" s="199" t="s">
        <v>27</v>
      </c>
      <c r="D4" s="169" t="s">
        <v>28</v>
      </c>
      <c r="E4" s="169" t="s">
        <v>29</v>
      </c>
      <c r="F4" s="169" t="s">
        <v>30</v>
      </c>
      <c r="G4" s="169" t="s">
        <v>31</v>
      </c>
      <c r="H4" s="169" t="s">
        <v>32</v>
      </c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99" t="s">
        <v>39</v>
      </c>
      <c r="P4" s="327" t="s">
        <v>40</v>
      </c>
    </row>
    <row r="5" spans="1:17" ht="18" customHeight="1" x14ac:dyDescent="0.2">
      <c r="A5" s="25">
        <v>1</v>
      </c>
      <c r="B5" s="26" t="s">
        <v>18</v>
      </c>
      <c r="C5" s="201">
        <f>'1.1รวมยาทั้งหมด(1+2+3+4)'!C5+'5.vaccine'!C5</f>
        <v>74881.42</v>
      </c>
      <c r="D5" s="202">
        <f>'1.1รวมยาทั้งหมด(1+2+3+4)'!D5+'5.vaccine'!D5</f>
        <v>46399.59</v>
      </c>
      <c r="E5" s="202">
        <f>'1.1รวมยาทั้งหมด(1+2+3+4)'!E5+'5.vaccine'!E5</f>
        <v>82397.119999999995</v>
      </c>
      <c r="F5" s="202">
        <f>'1.1รวมยาทั้งหมด(1+2+3+4)'!F5+'5.vaccine'!F5</f>
        <v>73301.430000000008</v>
      </c>
      <c r="G5" s="202">
        <f>'1.1รวมยาทั้งหมด(1+2+3+4)'!G5+'5.vaccine'!G5</f>
        <v>79548.09</v>
      </c>
      <c r="H5" s="202">
        <f>'1.1รวมยาทั้งหมด(1+2+3+4)'!H5+'5.vaccine'!H5</f>
        <v>72697.61</v>
      </c>
      <c r="I5" s="202">
        <f>'1.1รวมยาทั้งหมด(1+2+3+4)'!I5+'5.vaccine'!I5</f>
        <v>72051.66</v>
      </c>
      <c r="J5" s="202">
        <f>'1.1รวมยาทั้งหมด(1+2+3+4)'!J5+'5.vaccine'!J5</f>
        <v>89830.28</v>
      </c>
      <c r="K5" s="202">
        <f>'1.1รวมยาทั้งหมด(1+2+3+4)'!K5+'5.vaccine'!K5</f>
        <v>0</v>
      </c>
      <c r="L5" s="202">
        <f>'1.1รวมยาทั้งหมด(1+2+3+4)'!L5+'5.vaccine'!L5</f>
        <v>0</v>
      </c>
      <c r="M5" s="202">
        <f>'1.1รวมยาทั้งหมด(1+2+3+4)'!M5+'5.vaccine'!M5</f>
        <v>0</v>
      </c>
      <c r="N5" s="202">
        <f>'1.1รวมยาทั้งหมด(1+2+3+4)'!N5+'5.vaccine'!N5</f>
        <v>0</v>
      </c>
      <c r="O5" s="215">
        <f>SUM(C5:N5)</f>
        <v>591107.20000000007</v>
      </c>
      <c r="P5" s="330">
        <f t="shared" ref="P5:P27" si="0">O5/$O$23</f>
        <v>0.14894721079825954</v>
      </c>
    </row>
    <row r="6" spans="1:17" ht="18" customHeight="1" x14ac:dyDescent="0.2">
      <c r="A6" s="25">
        <v>2</v>
      </c>
      <c r="B6" s="28" t="s">
        <v>19</v>
      </c>
      <c r="C6" s="201">
        <f>'1.1รวมยาทั้งหมด(1+2+3+4)'!C6+'5.vaccine'!C6</f>
        <v>25891.880000000005</v>
      </c>
      <c r="D6" s="202">
        <f>'1.1รวมยาทั้งหมด(1+2+3+4)'!D6+'5.vaccine'!D6</f>
        <v>52612.639999999999</v>
      </c>
      <c r="E6" s="202">
        <f>'1.1รวมยาทั้งหมด(1+2+3+4)'!E6+'5.vaccine'!E6</f>
        <v>44062.33</v>
      </c>
      <c r="F6" s="202">
        <f>'1.1รวมยาทั้งหมด(1+2+3+4)'!F6+'5.vaccine'!F6</f>
        <v>48766.12</v>
      </c>
      <c r="G6" s="202">
        <f>'1.1รวมยาทั้งหมด(1+2+3+4)'!G6+'5.vaccine'!G6</f>
        <v>49393.68</v>
      </c>
      <c r="H6" s="202">
        <f>'1.1รวมยาทั้งหมด(1+2+3+4)'!H6+'5.vaccine'!H6</f>
        <v>41817.14</v>
      </c>
      <c r="I6" s="202">
        <f>'1.1รวมยาทั้งหมด(1+2+3+4)'!I6+'5.vaccine'!I6</f>
        <v>50418.05</v>
      </c>
      <c r="J6" s="202">
        <f>'1.1รวมยาทั้งหมด(1+2+3+4)'!J6+'5.vaccine'!J6</f>
        <v>46869.170000000006</v>
      </c>
      <c r="K6" s="202">
        <f>'1.1รวมยาทั้งหมด(1+2+3+4)'!K6+'5.vaccine'!K6</f>
        <v>0</v>
      </c>
      <c r="L6" s="202">
        <f>'1.1รวมยาทั้งหมด(1+2+3+4)'!L6+'5.vaccine'!L6</f>
        <v>0</v>
      </c>
      <c r="M6" s="202">
        <f>'1.1รวมยาทั้งหมด(1+2+3+4)'!M6+'5.vaccine'!M6</f>
        <v>0</v>
      </c>
      <c r="N6" s="202">
        <f>'1.1รวมยาทั้งหมด(1+2+3+4)'!N6+'5.vaccine'!N6</f>
        <v>0</v>
      </c>
      <c r="O6" s="215">
        <f t="shared" ref="O6:O27" si="1">SUM(C6:N6)</f>
        <v>359831.00999999995</v>
      </c>
      <c r="P6" s="330">
        <f t="shared" si="0"/>
        <v>9.0670229187228002E-2</v>
      </c>
    </row>
    <row r="7" spans="1:17" ht="18" customHeight="1" x14ac:dyDescent="0.2">
      <c r="A7" s="25">
        <v>3</v>
      </c>
      <c r="B7" s="28" t="s">
        <v>20</v>
      </c>
      <c r="C7" s="201">
        <f>'1.1รวมยาทั้งหมด(1+2+3+4)'!C7+'5.vaccine'!C7</f>
        <v>5162.18</v>
      </c>
      <c r="D7" s="202">
        <f>'1.1รวมยาทั้งหมด(1+2+3+4)'!D7+'5.vaccine'!D7</f>
        <v>16573.09</v>
      </c>
      <c r="E7" s="202">
        <f>'1.1รวมยาทั้งหมด(1+2+3+4)'!E7+'5.vaccine'!E7</f>
        <v>17431.27</v>
      </c>
      <c r="F7" s="202">
        <f>'1.1รวมยาทั้งหมด(1+2+3+4)'!F7+'5.vaccine'!F7</f>
        <v>24430.190000000002</v>
      </c>
      <c r="G7" s="202">
        <f>'1.1รวมยาทั้งหมด(1+2+3+4)'!G7+'5.vaccine'!G7</f>
        <v>26673.48</v>
      </c>
      <c r="H7" s="202">
        <f>'1.1รวมยาทั้งหมด(1+2+3+4)'!H7+'5.vaccine'!H7</f>
        <v>29921.61</v>
      </c>
      <c r="I7" s="202">
        <f>'1.1รวมยาทั้งหมด(1+2+3+4)'!I7+'5.vaccine'!I7</f>
        <v>15407.73</v>
      </c>
      <c r="J7" s="202">
        <f>'1.1รวมยาทั้งหมด(1+2+3+4)'!J7+'5.vaccine'!J7</f>
        <v>35490.890000000007</v>
      </c>
      <c r="K7" s="202">
        <f>'1.1รวมยาทั้งหมด(1+2+3+4)'!K7+'5.vaccine'!K7</f>
        <v>0</v>
      </c>
      <c r="L7" s="202">
        <f>'1.1รวมยาทั้งหมด(1+2+3+4)'!L7+'5.vaccine'!L7</f>
        <v>0</v>
      </c>
      <c r="M7" s="202">
        <f>'1.1รวมยาทั้งหมด(1+2+3+4)'!M7+'5.vaccine'!M7</f>
        <v>0</v>
      </c>
      <c r="N7" s="202">
        <f>'1.1รวมยาทั้งหมด(1+2+3+4)'!N7+'5.vaccine'!N7</f>
        <v>0</v>
      </c>
      <c r="O7" s="215">
        <f t="shared" si="1"/>
        <v>171090.44000000003</v>
      </c>
      <c r="P7" s="330">
        <f t="shared" si="0"/>
        <v>4.3111374438083272E-2</v>
      </c>
    </row>
    <row r="8" spans="1:17" ht="18" customHeight="1" x14ac:dyDescent="0.2">
      <c r="A8" s="25">
        <v>4</v>
      </c>
      <c r="B8" s="28" t="s">
        <v>21</v>
      </c>
      <c r="C8" s="201">
        <f>'1.1รวมยาทั้งหมด(1+2+3+4)'!C8+'5.vaccine'!C8</f>
        <v>177968.73</v>
      </c>
      <c r="D8" s="202">
        <f>'1.1รวมยาทั้งหมด(1+2+3+4)'!D8+'5.vaccine'!D8</f>
        <v>75507.510000000009</v>
      </c>
      <c r="E8" s="202">
        <f>'1.1รวมยาทั้งหมด(1+2+3+4)'!E8+'5.vaccine'!E8</f>
        <v>13082.310000000001</v>
      </c>
      <c r="F8" s="202">
        <f>'1.1รวมยาทั้งหมด(1+2+3+4)'!F8+'5.vaccine'!F8</f>
        <v>23603.510000000002</v>
      </c>
      <c r="G8" s="202">
        <f>'1.1รวมยาทั้งหมด(1+2+3+4)'!G8+'5.vaccine'!G8</f>
        <v>49739.15</v>
      </c>
      <c r="H8" s="202">
        <f>'1.1รวมยาทั้งหมด(1+2+3+4)'!H8+'5.vaccine'!H8</f>
        <v>43656.29</v>
      </c>
      <c r="I8" s="202">
        <f>'1.1รวมยาทั้งหมด(1+2+3+4)'!I8+'5.vaccine'!I8</f>
        <v>85661.81</v>
      </c>
      <c r="J8" s="202">
        <f>'1.1รวมยาทั้งหมด(1+2+3+4)'!J8+'5.vaccine'!J8</f>
        <v>68360.72</v>
      </c>
      <c r="K8" s="202">
        <f>'1.1รวมยาทั้งหมด(1+2+3+4)'!K8+'5.vaccine'!K8</f>
        <v>0</v>
      </c>
      <c r="L8" s="202">
        <f>'1.1รวมยาทั้งหมด(1+2+3+4)'!L8+'5.vaccine'!L8</f>
        <v>0</v>
      </c>
      <c r="M8" s="202">
        <f>'1.1รวมยาทั้งหมด(1+2+3+4)'!M8+'5.vaccine'!M8</f>
        <v>0</v>
      </c>
      <c r="N8" s="202">
        <f>'1.1รวมยาทั้งหมด(1+2+3+4)'!N8+'5.vaccine'!N8</f>
        <v>0</v>
      </c>
      <c r="O8" s="215">
        <f t="shared" si="1"/>
        <v>537580.03</v>
      </c>
      <c r="P8" s="330">
        <f t="shared" si="0"/>
        <v>0.13545943282258224</v>
      </c>
    </row>
    <row r="9" spans="1:17" ht="18" customHeight="1" x14ac:dyDescent="0.2">
      <c r="A9" s="25">
        <v>5</v>
      </c>
      <c r="B9" s="28" t="s">
        <v>2</v>
      </c>
      <c r="C9" s="201">
        <f>'1.1รวมยาทั้งหมด(1+2+3+4)'!C9+'5.vaccine'!C9</f>
        <v>13174.64</v>
      </c>
      <c r="D9" s="202">
        <f>'1.1รวมยาทั้งหมด(1+2+3+4)'!D9+'5.vaccine'!D9</f>
        <v>21963.559999999998</v>
      </c>
      <c r="E9" s="202">
        <f>'1.1รวมยาทั้งหมด(1+2+3+4)'!E9+'5.vaccine'!E9</f>
        <v>14676.029999999999</v>
      </c>
      <c r="F9" s="202">
        <f>'1.1รวมยาทั้งหมด(1+2+3+4)'!F9+'5.vaccine'!F9</f>
        <v>52118.899999999994</v>
      </c>
      <c r="G9" s="202">
        <f>'1.1รวมยาทั้งหมด(1+2+3+4)'!G9+'5.vaccine'!G9</f>
        <v>20024.2</v>
      </c>
      <c r="H9" s="202">
        <f>'1.1รวมยาทั้งหมด(1+2+3+4)'!H9+'5.vaccine'!H9</f>
        <v>18633.84</v>
      </c>
      <c r="I9" s="202">
        <f>'1.1รวมยาทั้งหมด(1+2+3+4)'!I9+'5.vaccine'!I9</f>
        <v>14284.5</v>
      </c>
      <c r="J9" s="202">
        <f>'1.1รวมยาทั้งหมด(1+2+3+4)'!J9+'5.vaccine'!J9</f>
        <v>27051.730000000003</v>
      </c>
      <c r="K9" s="202">
        <f>'1.1รวมยาทั้งหมด(1+2+3+4)'!K9+'5.vaccine'!K9</f>
        <v>0</v>
      </c>
      <c r="L9" s="202">
        <f>'1.1รวมยาทั้งหมด(1+2+3+4)'!L9+'5.vaccine'!L9</f>
        <v>0</v>
      </c>
      <c r="M9" s="202">
        <f>'1.1รวมยาทั้งหมด(1+2+3+4)'!M9+'5.vaccine'!M9</f>
        <v>0</v>
      </c>
      <c r="N9" s="202">
        <f>'1.1รวมยาทั้งหมด(1+2+3+4)'!N9+'5.vaccine'!N9</f>
        <v>0</v>
      </c>
      <c r="O9" s="215">
        <f t="shared" si="1"/>
        <v>181927.4</v>
      </c>
      <c r="P9" s="330">
        <f t="shared" si="0"/>
        <v>4.5842071958824525E-2</v>
      </c>
    </row>
    <row r="10" spans="1:17" ht="18" customHeight="1" x14ac:dyDescent="0.2">
      <c r="A10" s="25">
        <v>6</v>
      </c>
      <c r="B10" s="28" t="s">
        <v>3</v>
      </c>
      <c r="C10" s="201">
        <f>'1.1รวมยาทั้งหมด(1+2+3+4)'!C10+'5.vaccine'!C10</f>
        <v>26164.39</v>
      </c>
      <c r="D10" s="202">
        <f>'1.1รวมยาทั้งหมด(1+2+3+4)'!D10+'5.vaccine'!D10</f>
        <v>37265.589999999997</v>
      </c>
      <c r="E10" s="202">
        <f>'1.1รวมยาทั้งหมด(1+2+3+4)'!E10+'5.vaccine'!E10</f>
        <v>13156.81</v>
      </c>
      <c r="F10" s="202">
        <f>'1.1รวมยาทั้งหมด(1+2+3+4)'!F10+'5.vaccine'!F10</f>
        <v>15600.99</v>
      </c>
      <c r="G10" s="202">
        <f>'1.1รวมยาทั้งหมด(1+2+3+4)'!G10+'5.vaccine'!G10</f>
        <v>9510.92</v>
      </c>
      <c r="H10" s="202">
        <f>'1.1รวมยาทั้งหมด(1+2+3+4)'!H10+'5.vaccine'!H10</f>
        <v>12657.39</v>
      </c>
      <c r="I10" s="202">
        <f>'1.1รวมยาทั้งหมด(1+2+3+4)'!I10+'5.vaccine'!I10</f>
        <v>27373.829999999998</v>
      </c>
      <c r="J10" s="202">
        <f>'1.1รวมยาทั้งหมด(1+2+3+4)'!J10+'5.vaccine'!J10</f>
        <v>12198.56</v>
      </c>
      <c r="K10" s="202">
        <f>'1.1รวมยาทั้งหมด(1+2+3+4)'!K10+'5.vaccine'!K10</f>
        <v>0</v>
      </c>
      <c r="L10" s="202">
        <f>'1.1รวมยาทั้งหมด(1+2+3+4)'!L10+'5.vaccine'!L10</f>
        <v>0</v>
      </c>
      <c r="M10" s="202">
        <f>'1.1รวมยาทั้งหมด(1+2+3+4)'!M10+'5.vaccine'!M10</f>
        <v>0</v>
      </c>
      <c r="N10" s="202">
        <f>'1.1รวมยาทั้งหมด(1+2+3+4)'!N10+'5.vaccine'!N10</f>
        <v>0</v>
      </c>
      <c r="O10" s="215">
        <f t="shared" si="1"/>
        <v>153928.47999999998</v>
      </c>
      <c r="P10" s="330">
        <f t="shared" si="0"/>
        <v>3.8786903218935027E-2</v>
      </c>
    </row>
    <row r="11" spans="1:17" ht="18" customHeight="1" x14ac:dyDescent="0.2">
      <c r="A11" s="25">
        <v>7</v>
      </c>
      <c r="B11" s="28" t="s">
        <v>4</v>
      </c>
      <c r="C11" s="201">
        <f>'1.1รวมยาทั้งหมด(1+2+3+4)'!C11+'5.vaccine'!C11</f>
        <v>9056</v>
      </c>
      <c r="D11" s="202">
        <f>'1.1รวมยาทั้งหมด(1+2+3+4)'!D11+'5.vaccine'!D11</f>
        <v>15870.01</v>
      </c>
      <c r="E11" s="202">
        <f>'1.1รวมยาทั้งหมด(1+2+3+4)'!E11+'5.vaccine'!E11</f>
        <v>8041.3099999999995</v>
      </c>
      <c r="F11" s="202">
        <f>'1.1รวมยาทั้งหมด(1+2+3+4)'!F11+'5.vaccine'!F11</f>
        <v>34664.25</v>
      </c>
      <c r="G11" s="202">
        <f>'1.1รวมยาทั้งหมด(1+2+3+4)'!G11+'5.vaccine'!G11</f>
        <v>22592.78</v>
      </c>
      <c r="H11" s="202">
        <f>'1.1รวมยาทั้งหมด(1+2+3+4)'!H11+'5.vaccine'!H11</f>
        <v>11003.9</v>
      </c>
      <c r="I11" s="202">
        <f>'1.1รวมยาทั้งหมด(1+2+3+4)'!I11+'5.vaccine'!I11</f>
        <v>13392.95</v>
      </c>
      <c r="J11" s="202">
        <f>'1.1รวมยาทั้งหมด(1+2+3+4)'!J11+'5.vaccine'!J11</f>
        <v>32621.690000000002</v>
      </c>
      <c r="K11" s="202">
        <f>'1.1รวมยาทั้งหมด(1+2+3+4)'!K11+'5.vaccine'!K11</f>
        <v>0</v>
      </c>
      <c r="L11" s="202">
        <f>'1.1รวมยาทั้งหมด(1+2+3+4)'!L11+'5.vaccine'!L11</f>
        <v>0</v>
      </c>
      <c r="M11" s="202">
        <f>'1.1รวมยาทั้งหมด(1+2+3+4)'!M11+'5.vaccine'!M11</f>
        <v>0</v>
      </c>
      <c r="N11" s="202">
        <f>'1.1รวมยาทั้งหมด(1+2+3+4)'!N11+'5.vaccine'!N11</f>
        <v>0</v>
      </c>
      <c r="O11" s="215">
        <f t="shared" si="1"/>
        <v>147242.89000000001</v>
      </c>
      <c r="P11" s="330">
        <f t="shared" si="0"/>
        <v>3.7102268041016823E-2</v>
      </c>
    </row>
    <row r="12" spans="1:17" ht="18" customHeight="1" x14ac:dyDescent="0.2">
      <c r="A12" s="25">
        <v>8</v>
      </c>
      <c r="B12" s="28" t="s">
        <v>5</v>
      </c>
      <c r="C12" s="201">
        <f>'1.1รวมยาทั้งหมด(1+2+3+4)'!C12+'5.vaccine'!C12</f>
        <v>18686.510000000002</v>
      </c>
      <c r="D12" s="202">
        <f>'1.1รวมยาทั้งหมด(1+2+3+4)'!D12+'5.vaccine'!D12</f>
        <v>82229.31</v>
      </c>
      <c r="E12" s="202">
        <f>'1.1รวมยาทั้งหมด(1+2+3+4)'!E12+'5.vaccine'!E12</f>
        <v>39237.589999999997</v>
      </c>
      <c r="F12" s="202">
        <f>'1.1รวมยาทั้งหมด(1+2+3+4)'!F12+'5.vaccine'!F12</f>
        <v>54817.64</v>
      </c>
      <c r="G12" s="202">
        <f>'1.1รวมยาทั้งหมด(1+2+3+4)'!G12+'5.vaccine'!G12</f>
        <v>20683.419999999998</v>
      </c>
      <c r="H12" s="202">
        <f>'1.1รวมยาทั้งหมด(1+2+3+4)'!H12+'5.vaccine'!H12</f>
        <v>41716.240000000005</v>
      </c>
      <c r="I12" s="202">
        <f>'1.1รวมยาทั้งหมด(1+2+3+4)'!I12+'5.vaccine'!I12</f>
        <v>14277.34</v>
      </c>
      <c r="J12" s="202">
        <f>'1.1รวมยาทั้งหมด(1+2+3+4)'!J12+'5.vaccine'!J12</f>
        <v>40521.07</v>
      </c>
      <c r="K12" s="202">
        <f>'1.1รวมยาทั้งหมด(1+2+3+4)'!K12+'5.vaccine'!K12</f>
        <v>0</v>
      </c>
      <c r="L12" s="202">
        <f>'1.1รวมยาทั้งหมด(1+2+3+4)'!L12+'5.vaccine'!L12</f>
        <v>0</v>
      </c>
      <c r="M12" s="202">
        <f>'1.1รวมยาทั้งหมด(1+2+3+4)'!M12+'5.vaccine'!M12</f>
        <v>0</v>
      </c>
      <c r="N12" s="202">
        <f>'1.1รวมยาทั้งหมด(1+2+3+4)'!N12+'5.vaccine'!N12</f>
        <v>0</v>
      </c>
      <c r="O12" s="215">
        <f t="shared" si="1"/>
        <v>312169.12</v>
      </c>
      <c r="P12" s="330">
        <f t="shared" si="0"/>
        <v>7.8660384649936882E-2</v>
      </c>
    </row>
    <row r="13" spans="1:17" ht="18" customHeight="1" x14ac:dyDescent="0.2">
      <c r="A13" s="25">
        <v>9</v>
      </c>
      <c r="B13" s="28" t="s">
        <v>6</v>
      </c>
      <c r="C13" s="201">
        <f>'1.1รวมยาทั้งหมด(1+2+3+4)'!C13+'5.vaccine'!C13</f>
        <v>24246.53</v>
      </c>
      <c r="D13" s="202">
        <f>'1.1รวมยาทั้งหมด(1+2+3+4)'!D13+'5.vaccine'!D13</f>
        <v>19808.800000000003</v>
      </c>
      <c r="E13" s="202">
        <f>'1.1รวมยาทั้งหมด(1+2+3+4)'!E13+'5.vaccine'!E13</f>
        <v>25310.959999999999</v>
      </c>
      <c r="F13" s="202">
        <f>'1.1รวมยาทั้งหมด(1+2+3+4)'!F13+'5.vaccine'!F13</f>
        <v>21848.49</v>
      </c>
      <c r="G13" s="202">
        <f>'1.1รวมยาทั้งหมด(1+2+3+4)'!G13+'5.vaccine'!G13</f>
        <v>15248.77</v>
      </c>
      <c r="H13" s="202">
        <f>'1.1รวมยาทั้งหมด(1+2+3+4)'!H13+'5.vaccine'!H13</f>
        <v>17229.169999999998</v>
      </c>
      <c r="I13" s="202">
        <f>'1.1รวมยาทั้งหมด(1+2+3+4)'!I13+'5.vaccine'!I13</f>
        <v>26670.289999999997</v>
      </c>
      <c r="J13" s="202">
        <f>'1.1รวมยาทั้งหมด(1+2+3+4)'!J13+'5.vaccine'!J13</f>
        <v>8873.86</v>
      </c>
      <c r="K13" s="202">
        <f>'1.1รวมยาทั้งหมด(1+2+3+4)'!K13+'5.vaccine'!K13</f>
        <v>0</v>
      </c>
      <c r="L13" s="202">
        <f>'1.1รวมยาทั้งหมด(1+2+3+4)'!L13+'5.vaccine'!L13</f>
        <v>0</v>
      </c>
      <c r="M13" s="202">
        <f>'1.1รวมยาทั้งหมด(1+2+3+4)'!M13+'5.vaccine'!M13</f>
        <v>0</v>
      </c>
      <c r="N13" s="202">
        <f>'1.1รวมยาทั้งหมด(1+2+3+4)'!N13+'5.vaccine'!N13</f>
        <v>0</v>
      </c>
      <c r="O13" s="215">
        <f t="shared" si="1"/>
        <v>159236.87</v>
      </c>
      <c r="P13" s="330">
        <f t="shared" si="0"/>
        <v>4.0124511497652282E-2</v>
      </c>
    </row>
    <row r="14" spans="1:17" ht="18" customHeight="1" x14ac:dyDescent="0.2">
      <c r="A14" s="25">
        <v>10</v>
      </c>
      <c r="B14" s="28" t="s">
        <v>7</v>
      </c>
      <c r="C14" s="201">
        <f>'1.1รวมยาทั้งหมด(1+2+3+4)'!C14+'5.vaccine'!C14</f>
        <v>20481.919999999998</v>
      </c>
      <c r="D14" s="202">
        <f>'1.1รวมยาทั้งหมด(1+2+3+4)'!D14+'5.vaccine'!D14</f>
        <v>15896.48</v>
      </c>
      <c r="E14" s="202">
        <f>'1.1รวมยาทั้งหมด(1+2+3+4)'!E14+'5.vaccine'!E14</f>
        <v>8968.4699999999993</v>
      </c>
      <c r="F14" s="202">
        <f>'1.1รวมยาทั้งหมด(1+2+3+4)'!F14+'5.vaccine'!F14</f>
        <v>16130.579999999998</v>
      </c>
      <c r="G14" s="202">
        <f>'1.1รวมยาทั้งหมด(1+2+3+4)'!G14+'5.vaccine'!G14</f>
        <v>3902.4</v>
      </c>
      <c r="H14" s="202">
        <f>'1.1รวมยาทั้งหมด(1+2+3+4)'!H14+'5.vaccine'!H14</f>
        <v>26336.84</v>
      </c>
      <c r="I14" s="202">
        <f>'1.1รวมยาทั้งหมด(1+2+3+4)'!I14+'5.vaccine'!I14</f>
        <v>15187.52</v>
      </c>
      <c r="J14" s="202">
        <f>'1.1รวมยาทั้งหมด(1+2+3+4)'!J14+'5.vaccine'!J14</f>
        <v>12154.470000000001</v>
      </c>
      <c r="K14" s="202">
        <f>'1.1รวมยาทั้งหมด(1+2+3+4)'!K14+'5.vaccine'!K14</f>
        <v>0</v>
      </c>
      <c r="L14" s="202">
        <f>'1.1รวมยาทั้งหมด(1+2+3+4)'!L14+'5.vaccine'!L14</f>
        <v>0</v>
      </c>
      <c r="M14" s="202">
        <f>'1.1รวมยาทั้งหมด(1+2+3+4)'!M14+'5.vaccine'!M14</f>
        <v>0</v>
      </c>
      <c r="N14" s="202">
        <f>'1.1รวมยาทั้งหมด(1+2+3+4)'!N14+'5.vaccine'!N14</f>
        <v>0</v>
      </c>
      <c r="O14" s="215">
        <f t="shared" si="1"/>
        <v>119058.68000000001</v>
      </c>
      <c r="P14" s="330">
        <f t="shared" si="0"/>
        <v>3.000040992111503E-2</v>
      </c>
    </row>
    <row r="15" spans="1:17" ht="18" customHeight="1" x14ac:dyDescent="0.2">
      <c r="A15" s="25">
        <v>11</v>
      </c>
      <c r="B15" s="28" t="s">
        <v>8</v>
      </c>
      <c r="C15" s="201">
        <f>'1.1รวมยาทั้งหมด(1+2+3+4)'!C15+'5.vaccine'!C15</f>
        <v>30847.720000000005</v>
      </c>
      <c r="D15" s="202">
        <f>'1.1รวมยาทั้งหมด(1+2+3+4)'!D15+'5.vaccine'!D15</f>
        <v>20790.849999999999</v>
      </c>
      <c r="E15" s="202">
        <f>'1.1รวมยาทั้งหมด(1+2+3+4)'!E15+'5.vaccine'!E15</f>
        <v>3470.04</v>
      </c>
      <c r="F15" s="202">
        <f>'1.1รวมยาทั้งหมด(1+2+3+4)'!F15+'5.vaccine'!F15</f>
        <v>43923.540000000008</v>
      </c>
      <c r="G15" s="202">
        <f>'1.1รวมยาทั้งหมด(1+2+3+4)'!G15+'5.vaccine'!G15</f>
        <v>20373.59</v>
      </c>
      <c r="H15" s="202">
        <f>'1.1รวมยาทั้งหมด(1+2+3+4)'!H15+'5.vaccine'!H15</f>
        <v>24419.199999999997</v>
      </c>
      <c r="I15" s="202">
        <f>'1.1รวมยาทั้งหมด(1+2+3+4)'!I15+'5.vaccine'!I15</f>
        <v>27204.6</v>
      </c>
      <c r="J15" s="202">
        <f>'1.1รวมยาทั้งหมด(1+2+3+4)'!J15+'5.vaccine'!J15</f>
        <v>26742.51</v>
      </c>
      <c r="K15" s="202">
        <f>'1.1รวมยาทั้งหมด(1+2+3+4)'!K15+'5.vaccine'!K15</f>
        <v>0</v>
      </c>
      <c r="L15" s="202">
        <f>'1.1รวมยาทั้งหมด(1+2+3+4)'!L15+'5.vaccine'!L15</f>
        <v>0</v>
      </c>
      <c r="M15" s="202">
        <f>'1.1รวมยาทั้งหมด(1+2+3+4)'!M15+'5.vaccine'!M15</f>
        <v>0</v>
      </c>
      <c r="N15" s="202">
        <f>'1.1รวมยาทั้งหมด(1+2+3+4)'!N15+'5.vaccine'!N15</f>
        <v>0</v>
      </c>
      <c r="O15" s="215">
        <f t="shared" si="1"/>
        <v>197772.05000000002</v>
      </c>
      <c r="P15" s="330">
        <f t="shared" si="0"/>
        <v>4.9834607362850468E-2</v>
      </c>
    </row>
    <row r="16" spans="1:17" ht="18" customHeight="1" x14ac:dyDescent="0.2">
      <c r="A16" s="25">
        <v>12</v>
      </c>
      <c r="B16" s="28" t="s">
        <v>9</v>
      </c>
      <c r="C16" s="201">
        <f>'1.1รวมยาทั้งหมด(1+2+3+4)'!C16+'5.vaccine'!C16</f>
        <v>22463.69</v>
      </c>
      <c r="D16" s="202">
        <f>'1.1รวมยาทั้งหมด(1+2+3+4)'!D16+'5.vaccine'!D16</f>
        <v>9146.1</v>
      </c>
      <c r="E16" s="202">
        <f>'1.1รวมยาทั้งหมด(1+2+3+4)'!E16+'5.vaccine'!E16</f>
        <v>17912.169999999998</v>
      </c>
      <c r="F16" s="202">
        <f>'1.1รวมยาทั้งหมด(1+2+3+4)'!F16+'5.vaccine'!F16</f>
        <v>11298.27</v>
      </c>
      <c r="G16" s="202">
        <f>'1.1รวมยาทั้งหมด(1+2+3+4)'!G16+'5.vaccine'!G16</f>
        <v>14314.87</v>
      </c>
      <c r="H16" s="202">
        <f>'1.1รวมยาทั้งหมด(1+2+3+4)'!H16+'5.vaccine'!H16</f>
        <v>16924.43</v>
      </c>
      <c r="I16" s="202">
        <f>'1.1รวมยาทั้งหมด(1+2+3+4)'!I16+'5.vaccine'!I16</f>
        <v>20260.809999999998</v>
      </c>
      <c r="J16" s="202">
        <f>'1.1รวมยาทั้งหมด(1+2+3+4)'!J16+'5.vaccine'!J16</f>
        <v>18510.559999999998</v>
      </c>
      <c r="K16" s="202">
        <f>'1.1รวมยาทั้งหมด(1+2+3+4)'!K16+'5.vaccine'!K16</f>
        <v>0</v>
      </c>
      <c r="L16" s="202">
        <f>'1.1รวมยาทั้งหมด(1+2+3+4)'!L16+'5.vaccine'!L16</f>
        <v>0</v>
      </c>
      <c r="M16" s="202">
        <f>'1.1รวมยาทั้งหมด(1+2+3+4)'!M16+'5.vaccine'!M16</f>
        <v>0</v>
      </c>
      <c r="N16" s="202">
        <f>'1.1รวมยาทั้งหมด(1+2+3+4)'!N16+'5.vaccine'!N16</f>
        <v>0</v>
      </c>
      <c r="O16" s="215">
        <f t="shared" si="1"/>
        <v>130830.9</v>
      </c>
      <c r="P16" s="330">
        <f t="shared" si="0"/>
        <v>3.2966774285994163E-2</v>
      </c>
    </row>
    <row r="17" spans="1:16" ht="18" customHeight="1" x14ac:dyDescent="0.2">
      <c r="A17" s="25">
        <v>13</v>
      </c>
      <c r="B17" s="28" t="s">
        <v>10</v>
      </c>
      <c r="C17" s="201">
        <f>'1.1รวมยาทั้งหมด(1+2+3+4)'!C17+'5.vaccine'!C17</f>
        <v>19440.080000000002</v>
      </c>
      <c r="D17" s="202">
        <f>'1.1รวมยาทั้งหมด(1+2+3+4)'!D17+'5.vaccine'!D17</f>
        <v>3069.9900000000002</v>
      </c>
      <c r="E17" s="202">
        <f>'1.1รวมยาทั้งหมด(1+2+3+4)'!E17+'5.vaccine'!E17</f>
        <v>21410.44</v>
      </c>
      <c r="F17" s="202">
        <f>'1.1รวมยาทั้งหมด(1+2+3+4)'!F17+'5.vaccine'!F17</f>
        <v>49846.729999999996</v>
      </c>
      <c r="G17" s="202">
        <f>'1.1รวมยาทั้งหมด(1+2+3+4)'!G17+'5.vaccine'!G17</f>
        <v>4148.51</v>
      </c>
      <c r="H17" s="202">
        <f>'1.1รวมยาทั้งหมด(1+2+3+4)'!H17+'5.vaccine'!H17</f>
        <v>33795.54</v>
      </c>
      <c r="I17" s="202">
        <f>'1.1รวมยาทั้งหมด(1+2+3+4)'!I17+'5.vaccine'!I17</f>
        <v>35325.440000000002</v>
      </c>
      <c r="J17" s="202">
        <f>'1.1รวมยาทั้งหมด(1+2+3+4)'!J17+'5.vaccine'!J17</f>
        <v>1577.05</v>
      </c>
      <c r="K17" s="202">
        <f>'1.1รวมยาทั้งหมด(1+2+3+4)'!K17+'5.vaccine'!K17</f>
        <v>0</v>
      </c>
      <c r="L17" s="202">
        <f>'1.1รวมยาทั้งหมด(1+2+3+4)'!L17+'5.vaccine'!L17</f>
        <v>0</v>
      </c>
      <c r="M17" s="202">
        <f>'1.1รวมยาทั้งหมด(1+2+3+4)'!M17+'5.vaccine'!M17</f>
        <v>0</v>
      </c>
      <c r="N17" s="202">
        <f>'1.1รวมยาทั้งหมด(1+2+3+4)'!N17+'5.vaccine'!N17</f>
        <v>0</v>
      </c>
      <c r="O17" s="215">
        <f t="shared" si="1"/>
        <v>168613.77999999997</v>
      </c>
      <c r="P17" s="330">
        <f t="shared" si="0"/>
        <v>4.2487305573593676E-2</v>
      </c>
    </row>
    <row r="18" spans="1:16" ht="18" customHeight="1" x14ac:dyDescent="0.2">
      <c r="A18" s="25">
        <v>14</v>
      </c>
      <c r="B18" s="28" t="s">
        <v>11</v>
      </c>
      <c r="C18" s="201">
        <f>'1.1รวมยาทั้งหมด(1+2+3+4)'!C18+'5.vaccine'!C18</f>
        <v>20292.29</v>
      </c>
      <c r="D18" s="202">
        <f>'1.1รวมยาทั้งหมด(1+2+3+4)'!D18+'5.vaccine'!D18</f>
        <v>10711.539999999999</v>
      </c>
      <c r="E18" s="202">
        <f>'1.1รวมยาทั้งหมด(1+2+3+4)'!E18+'5.vaccine'!E18</f>
        <v>13842.720000000001</v>
      </c>
      <c r="F18" s="202">
        <f>'1.1รวมยาทั้งหมด(1+2+3+4)'!F18+'5.vaccine'!F18</f>
        <v>13145.990000000002</v>
      </c>
      <c r="G18" s="202">
        <f>'1.1รวมยาทั้งหมด(1+2+3+4)'!G18+'5.vaccine'!G18</f>
        <v>14538.68</v>
      </c>
      <c r="H18" s="202">
        <f>'1.1รวมยาทั้งหมด(1+2+3+4)'!H18+'5.vaccine'!H18</f>
        <v>9589.74</v>
      </c>
      <c r="I18" s="202">
        <f>'1.1รวมยาทั้งหมด(1+2+3+4)'!I18+'5.vaccine'!I18</f>
        <v>14627.560000000001</v>
      </c>
      <c r="J18" s="202">
        <f>'1.1รวมยาทั้งหมด(1+2+3+4)'!J18+'5.vaccine'!J18</f>
        <v>6468.1399999999994</v>
      </c>
      <c r="K18" s="202">
        <f>'1.1รวมยาทั้งหมด(1+2+3+4)'!K18+'5.vaccine'!K18</f>
        <v>0</v>
      </c>
      <c r="L18" s="202">
        <f>'1.1รวมยาทั้งหมด(1+2+3+4)'!L18+'5.vaccine'!L18</f>
        <v>0</v>
      </c>
      <c r="M18" s="202">
        <f>'1.1รวมยาทั้งหมด(1+2+3+4)'!M18+'5.vaccine'!M18</f>
        <v>0</v>
      </c>
      <c r="N18" s="202">
        <f>'1.1รวมยาทั้งหมด(1+2+3+4)'!N18+'5.vaccine'!N18</f>
        <v>0</v>
      </c>
      <c r="O18" s="215">
        <f t="shared" si="1"/>
        <v>103216.66</v>
      </c>
      <c r="P18" s="330">
        <f t="shared" si="0"/>
        <v>2.6008537224571589E-2</v>
      </c>
    </row>
    <row r="19" spans="1:16" ht="18" customHeight="1" x14ac:dyDescent="0.2">
      <c r="A19" s="25">
        <v>15</v>
      </c>
      <c r="B19" s="28" t="s">
        <v>12</v>
      </c>
      <c r="C19" s="201">
        <f>'1.1รวมยาทั้งหมด(1+2+3+4)'!C19+'5.vaccine'!C19</f>
        <v>23927.89</v>
      </c>
      <c r="D19" s="202">
        <f>'1.1รวมยาทั้งหมด(1+2+3+4)'!D19+'5.vaccine'!D19</f>
        <v>23504.77</v>
      </c>
      <c r="E19" s="202">
        <f>'1.1รวมยาทั้งหมด(1+2+3+4)'!E19+'5.vaccine'!E19</f>
        <v>31997.88</v>
      </c>
      <c r="F19" s="202">
        <f>'1.1รวมยาทั้งหมด(1+2+3+4)'!F19+'5.vaccine'!F19</f>
        <v>20812.310000000001</v>
      </c>
      <c r="G19" s="202">
        <f>'1.1รวมยาทั้งหมด(1+2+3+4)'!G19+'5.vaccine'!G19</f>
        <v>51890.59</v>
      </c>
      <c r="H19" s="202">
        <f>'1.1รวมยาทั้งหมด(1+2+3+4)'!H19+'5.vaccine'!H19</f>
        <v>26950.980000000003</v>
      </c>
      <c r="I19" s="202">
        <f>'1.1รวมยาทั้งหมด(1+2+3+4)'!I19+'5.vaccine'!I19</f>
        <v>7302</v>
      </c>
      <c r="J19" s="202">
        <f>'1.1รวมยาทั้งหมด(1+2+3+4)'!J19+'5.vaccine'!J19</f>
        <v>56600.639999999999</v>
      </c>
      <c r="K19" s="202">
        <f>'1.1รวมยาทั้งหมด(1+2+3+4)'!K19+'5.vaccine'!K19</f>
        <v>0</v>
      </c>
      <c r="L19" s="202">
        <f>'1.1รวมยาทั้งหมด(1+2+3+4)'!L19+'5.vaccine'!L19</f>
        <v>0</v>
      </c>
      <c r="M19" s="202">
        <f>'1.1รวมยาทั้งหมด(1+2+3+4)'!M19+'5.vaccine'!M19</f>
        <v>0</v>
      </c>
      <c r="N19" s="202">
        <f>'1.1รวมยาทั้งหมด(1+2+3+4)'!N19+'5.vaccine'!N19</f>
        <v>0</v>
      </c>
      <c r="O19" s="215">
        <f t="shared" si="1"/>
        <v>242987.06</v>
      </c>
      <c r="P19" s="330">
        <f t="shared" si="0"/>
        <v>6.1227887000986171E-2</v>
      </c>
    </row>
    <row r="20" spans="1:16" ht="18" customHeight="1" x14ac:dyDescent="0.2">
      <c r="A20" s="25">
        <v>16</v>
      </c>
      <c r="B20" s="29" t="s">
        <v>13</v>
      </c>
      <c r="C20" s="201">
        <f>'1.1รวมยาทั้งหมด(1+2+3+4)'!C20+'5.vaccine'!C20</f>
        <v>18142.18</v>
      </c>
      <c r="D20" s="202">
        <f>'1.1รวมยาทั้งหมด(1+2+3+4)'!D20+'5.vaccine'!D20</f>
        <v>6981.9400000000005</v>
      </c>
      <c r="E20" s="202">
        <f>'1.1รวมยาทั้งหมด(1+2+3+4)'!E20+'5.vaccine'!E20</f>
        <v>11166</v>
      </c>
      <c r="F20" s="202">
        <f>'1.1รวมยาทั้งหมด(1+2+3+4)'!F20+'5.vaccine'!F20</f>
        <v>19381.86</v>
      </c>
      <c r="G20" s="202">
        <f>'1.1รวมยาทั้งหมด(1+2+3+4)'!G20+'5.vaccine'!G20</f>
        <v>18005.449999999997</v>
      </c>
      <c r="H20" s="202">
        <f>'1.1รวมยาทั้งหมด(1+2+3+4)'!H20+'5.vaccine'!H20</f>
        <v>11322.21</v>
      </c>
      <c r="I20" s="202">
        <f>'1.1รวมยาทั้งหมด(1+2+3+4)'!I20+'5.vaccine'!I20</f>
        <v>15826.32</v>
      </c>
      <c r="J20" s="202">
        <f>'1.1รวมยาทั้งหมด(1+2+3+4)'!J20+'5.vaccine'!J20</f>
        <v>11308.26</v>
      </c>
      <c r="K20" s="202">
        <f>'1.1รวมยาทั้งหมด(1+2+3+4)'!K20+'5.vaccine'!K20</f>
        <v>0</v>
      </c>
      <c r="L20" s="202">
        <f>'1.1รวมยาทั้งหมด(1+2+3+4)'!L20+'5.vaccine'!L20</f>
        <v>0</v>
      </c>
      <c r="M20" s="202">
        <f>'1.1รวมยาทั้งหมด(1+2+3+4)'!M20+'5.vaccine'!M20</f>
        <v>0</v>
      </c>
      <c r="N20" s="202">
        <f>'1.1รวมยาทั้งหมด(1+2+3+4)'!N20+'5.vaccine'!N20</f>
        <v>0</v>
      </c>
      <c r="O20" s="215">
        <f t="shared" si="1"/>
        <v>112134.21999999999</v>
      </c>
      <c r="P20" s="330">
        <f t="shared" si="0"/>
        <v>2.8255584273103772E-2</v>
      </c>
    </row>
    <row r="21" spans="1:16" ht="18" customHeight="1" x14ac:dyDescent="0.2">
      <c r="A21" s="25">
        <v>17</v>
      </c>
      <c r="B21" s="28" t="s">
        <v>14</v>
      </c>
      <c r="C21" s="201">
        <f>'1.1รวมยาทั้งหมด(1+2+3+4)'!C21+'5.vaccine'!C21</f>
        <v>27445.690000000002</v>
      </c>
      <c r="D21" s="202">
        <f>'1.1รวมยาทั้งหมด(1+2+3+4)'!D21+'5.vaccine'!D21</f>
        <v>21975.309999999998</v>
      </c>
      <c r="E21" s="202">
        <f>'1.1รวมยาทั้งหมด(1+2+3+4)'!E21+'5.vaccine'!E21</f>
        <v>14141.57</v>
      </c>
      <c r="F21" s="202">
        <f>'1.1รวมยาทั้งหมด(1+2+3+4)'!F21+'5.vaccine'!F21</f>
        <v>23538.14</v>
      </c>
      <c r="G21" s="202">
        <f>'1.1รวมยาทั้งหมด(1+2+3+4)'!G21+'5.vaccine'!G21</f>
        <v>24437.86</v>
      </c>
      <c r="H21" s="202">
        <f>'1.1รวมยาทั้งหมด(1+2+3+4)'!H21+'5.vaccine'!H21</f>
        <v>23774.949999999997</v>
      </c>
      <c r="I21" s="202">
        <f>'1.1รวมยาทั้งหมด(1+2+3+4)'!I21+'5.vaccine'!I21</f>
        <v>18148.190000000002</v>
      </c>
      <c r="J21" s="202">
        <f>'1.1รวมยาทั้งหมด(1+2+3+4)'!J21+'5.vaccine'!J21</f>
        <v>22844.969999999998</v>
      </c>
      <c r="K21" s="202">
        <f>'1.1รวมยาทั้งหมด(1+2+3+4)'!K21+'5.vaccine'!K21</f>
        <v>0</v>
      </c>
      <c r="L21" s="202">
        <f>'1.1รวมยาทั้งหมด(1+2+3+4)'!L21+'5.vaccine'!L21</f>
        <v>0</v>
      </c>
      <c r="M21" s="202">
        <f>'1.1รวมยาทั้งหมด(1+2+3+4)'!M21+'5.vaccine'!M21</f>
        <v>0</v>
      </c>
      <c r="N21" s="202">
        <f>'1.1รวมยาทั้งหมด(1+2+3+4)'!N21+'5.vaccine'!N21</f>
        <v>0</v>
      </c>
      <c r="O21" s="215">
        <f t="shared" si="1"/>
        <v>176306.68</v>
      </c>
      <c r="P21" s="330">
        <f t="shared" si="0"/>
        <v>4.442576275690989E-2</v>
      </c>
    </row>
    <row r="22" spans="1:16" ht="18" customHeight="1" x14ac:dyDescent="0.2">
      <c r="A22" s="25">
        <v>18</v>
      </c>
      <c r="B22" s="28" t="s">
        <v>15</v>
      </c>
      <c r="C22" s="201">
        <f>'1.1รวมยาทั้งหมด(1+2+3+4)'!C22+'5.vaccine'!C22</f>
        <v>16759.95</v>
      </c>
      <c r="D22" s="202">
        <f>'1.1รวมยาทั้งหมด(1+2+3+4)'!D22+'5.vaccine'!D22</f>
        <v>7304.3099999999995</v>
      </c>
      <c r="E22" s="202">
        <f>'1.1รวมยาทั้งหมด(1+2+3+4)'!E22+'5.vaccine'!E22</f>
        <v>15873.82</v>
      </c>
      <c r="F22" s="202">
        <f>'1.1รวมยาทั้งหมด(1+2+3+4)'!F22+'5.vaccine'!F22</f>
        <v>12952.57</v>
      </c>
      <c r="G22" s="202">
        <f>'1.1รวมยาทั้งหมด(1+2+3+4)'!G22+'5.vaccine'!G22</f>
        <v>11747.169999999998</v>
      </c>
      <c r="H22" s="202">
        <f>'1.1รวมยาทั้งหมด(1+2+3+4)'!H22+'5.vaccine'!H22</f>
        <v>9269.58</v>
      </c>
      <c r="I22" s="202">
        <f>'1.1รวมยาทั้งหมด(1+2+3+4)'!I22+'5.vaccine'!I22</f>
        <v>12715.1</v>
      </c>
      <c r="J22" s="202">
        <f>'1.1รวมยาทั้งหมด(1+2+3+4)'!J22+'5.vaccine'!J22</f>
        <v>16912.47</v>
      </c>
      <c r="K22" s="202">
        <f>'1.1รวมยาทั้งหมด(1+2+3+4)'!K22+'5.vaccine'!K22</f>
        <v>0</v>
      </c>
      <c r="L22" s="202">
        <f>'1.1รวมยาทั้งหมด(1+2+3+4)'!L22+'5.vaccine'!L22</f>
        <v>0</v>
      </c>
      <c r="M22" s="202">
        <f>'1.1รวมยาทั้งหมด(1+2+3+4)'!M22+'5.vaccine'!M22</f>
        <v>0</v>
      </c>
      <c r="N22" s="202">
        <f>'1.1รวมยาทั้งหมด(1+2+3+4)'!N22+'5.vaccine'!N22</f>
        <v>0</v>
      </c>
      <c r="O22" s="215">
        <f t="shared" si="1"/>
        <v>103534.97</v>
      </c>
      <c r="P22" s="330">
        <f t="shared" si="0"/>
        <v>2.6088744988356553E-2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3">
        <f t="shared" ref="C23:N23" si="2">SUM(C5:C22)</f>
        <v>575033.68999999994</v>
      </c>
      <c r="D23" s="214">
        <f t="shared" si="2"/>
        <v>487611.3899999999</v>
      </c>
      <c r="E23" s="214">
        <f t="shared" si="2"/>
        <v>396178.83999999997</v>
      </c>
      <c r="F23" s="214">
        <f t="shared" si="2"/>
        <v>560181.50999999989</v>
      </c>
      <c r="G23" s="214">
        <f t="shared" si="2"/>
        <v>456773.6100000001</v>
      </c>
      <c r="H23" s="214">
        <f t="shared" si="2"/>
        <v>471716.66000000003</v>
      </c>
      <c r="I23" s="214">
        <f t="shared" si="2"/>
        <v>486135.7</v>
      </c>
      <c r="J23" s="214">
        <f t="shared" si="2"/>
        <v>534937.04</v>
      </c>
      <c r="K23" s="214">
        <f t="shared" si="2"/>
        <v>0</v>
      </c>
      <c r="L23" s="214">
        <f t="shared" si="2"/>
        <v>0</v>
      </c>
      <c r="M23" s="214">
        <f t="shared" si="2"/>
        <v>0</v>
      </c>
      <c r="N23" s="214">
        <f t="shared" si="2"/>
        <v>0</v>
      </c>
      <c r="O23" s="318">
        <f t="shared" si="1"/>
        <v>3968568.4400000004</v>
      </c>
      <c r="P23" s="331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1">
        <f>'1.1รวมยาทั้งหมด(1+2+3+4)'!C24+'5.vaccine'!C24</f>
        <v>26307.55</v>
      </c>
      <c r="D24" s="201">
        <f>'1.1รวมยาทั้งหมด(1+2+3+4)'!D24+'5.vaccine'!D24</f>
        <v>9518.1</v>
      </c>
      <c r="E24" s="201">
        <f>'1.1รวมยาทั้งหมด(1+2+3+4)'!E24+'5.vaccine'!E24</f>
        <v>40425.450000000004</v>
      </c>
      <c r="F24" s="201">
        <f>'1.1รวมยาทั้งหมด(1+2+3+4)'!F24+'5.vaccine'!F24</f>
        <v>72376.180000000008</v>
      </c>
      <c r="G24" s="201">
        <f>'1.1รวมยาทั้งหมด(1+2+3+4)'!G24+'5.vaccine'!G24</f>
        <v>54101.73</v>
      </c>
      <c r="H24" s="201">
        <f>'1.1รวมยาทั้งหมด(1+2+3+4)'!H24+'5.vaccine'!H24</f>
        <v>46792.42</v>
      </c>
      <c r="I24" s="201">
        <f>'1.1รวมยาทั้งหมด(1+2+3+4)'!I24+'5.vaccine'!I24</f>
        <v>35358.119999999995</v>
      </c>
      <c r="J24" s="201">
        <f>'1.1รวมยาทั้งหมด(1+2+3+4)'!J24+'5.vaccine'!J24</f>
        <v>21692.93</v>
      </c>
      <c r="K24" s="201">
        <f>'1.1รวมยาทั้งหมด(1+2+3+4)'!K24+'5.vaccine'!K24</f>
        <v>0</v>
      </c>
      <c r="L24" s="201">
        <f>'1.1รวมยาทั้งหมด(1+2+3+4)'!L24+'5.vaccine'!L24</f>
        <v>0</v>
      </c>
      <c r="M24" s="201">
        <f>'1.1รวมยาทั้งหมด(1+2+3+4)'!M24+'5.vaccine'!M24</f>
        <v>0</v>
      </c>
      <c r="N24" s="201">
        <f>'1.1รวมยาทั้งหมด(1+2+3+4)'!N24+'5.vaccine'!N24</f>
        <v>0</v>
      </c>
      <c r="O24" s="215">
        <f t="shared" si="1"/>
        <v>306572.48000000004</v>
      </c>
      <c r="P24" s="330">
        <f t="shared" si="0"/>
        <v>7.7250143127177623E-2</v>
      </c>
    </row>
    <row r="25" spans="1:16" ht="18" customHeight="1" x14ac:dyDescent="0.2">
      <c r="A25" s="30">
        <v>20</v>
      </c>
      <c r="B25" s="28" t="s">
        <v>17</v>
      </c>
      <c r="C25" s="201">
        <f>'1.1รวมยาทั้งหมด(1+2+3+4)'!C25+'5.vaccine'!C25</f>
        <v>0</v>
      </c>
      <c r="D25" s="201">
        <f>'1.1รวมยาทั้งหมด(1+2+3+4)'!D25+'5.vaccine'!D25</f>
        <v>0</v>
      </c>
      <c r="E25" s="201">
        <f>'1.1รวมยาทั้งหมด(1+2+3+4)'!E25+'5.vaccine'!E25</f>
        <v>0</v>
      </c>
      <c r="F25" s="201">
        <f>'1.1รวมยาทั้งหมด(1+2+3+4)'!F25+'5.vaccine'!F25</f>
        <v>0</v>
      </c>
      <c r="G25" s="201">
        <f>'1.1รวมยาทั้งหมด(1+2+3+4)'!G25+'5.vaccine'!G25</f>
        <v>0</v>
      </c>
      <c r="H25" s="201">
        <f>'1.1รวมยาทั้งหมด(1+2+3+4)'!H25+'5.vaccine'!H25</f>
        <v>0</v>
      </c>
      <c r="I25" s="201">
        <f>'1.1รวมยาทั้งหมด(1+2+3+4)'!I25+'5.vaccine'!I25</f>
        <v>0</v>
      </c>
      <c r="J25" s="201">
        <f>'1.1รวมยาทั้งหมด(1+2+3+4)'!J25+'5.vaccine'!J25</f>
        <v>0</v>
      </c>
      <c r="K25" s="201">
        <f>'1.1รวมยาทั้งหมด(1+2+3+4)'!K25+'5.vaccine'!K25</f>
        <v>0</v>
      </c>
      <c r="L25" s="201">
        <f>'1.1รวมยาทั้งหมด(1+2+3+4)'!L25+'5.vaccine'!L25</f>
        <v>0</v>
      </c>
      <c r="M25" s="201">
        <f>'1.1รวมยาทั้งหมด(1+2+3+4)'!M25+'5.vaccine'!M25</f>
        <v>0</v>
      </c>
      <c r="N25" s="201">
        <f>'1.1รวมยาทั้งหมด(1+2+3+4)'!N25+'5.vaccine'!N25</f>
        <v>0</v>
      </c>
      <c r="O25" s="215">
        <f t="shared" si="1"/>
        <v>0</v>
      </c>
      <c r="P25" s="330">
        <f t="shared" si="0"/>
        <v>0</v>
      </c>
    </row>
    <row r="26" spans="1:16" s="48" customFormat="1" ht="18" customHeight="1" x14ac:dyDescent="0.2">
      <c r="A26" s="49" t="s">
        <v>70</v>
      </c>
      <c r="B26" s="50" t="s">
        <v>23</v>
      </c>
      <c r="C26" s="216">
        <f>C24+C25</f>
        <v>26307.55</v>
      </c>
      <c r="D26" s="217">
        <f t="shared" ref="D26:N26" si="3">D24+D25</f>
        <v>9518.1</v>
      </c>
      <c r="E26" s="217">
        <f t="shared" si="3"/>
        <v>40425.450000000004</v>
      </c>
      <c r="F26" s="217">
        <f t="shared" si="3"/>
        <v>72376.180000000008</v>
      </c>
      <c r="G26" s="217">
        <f t="shared" si="3"/>
        <v>54101.73</v>
      </c>
      <c r="H26" s="217">
        <f t="shared" si="3"/>
        <v>46792.42</v>
      </c>
      <c r="I26" s="217">
        <f t="shared" si="3"/>
        <v>35358.119999999995</v>
      </c>
      <c r="J26" s="217">
        <f t="shared" si="3"/>
        <v>21692.93</v>
      </c>
      <c r="K26" s="217">
        <f t="shared" si="3"/>
        <v>0</v>
      </c>
      <c r="L26" s="217">
        <f t="shared" si="3"/>
        <v>0</v>
      </c>
      <c r="M26" s="217">
        <f t="shared" si="3"/>
        <v>0</v>
      </c>
      <c r="N26" s="217">
        <f t="shared" si="3"/>
        <v>0</v>
      </c>
      <c r="O26" s="218">
        <f t="shared" si="1"/>
        <v>306572.48000000004</v>
      </c>
      <c r="P26" s="332">
        <f t="shared" si="0"/>
        <v>7.7250143127177623E-2</v>
      </c>
    </row>
    <row r="27" spans="1:16" s="55" customFormat="1" ht="18" customHeight="1" x14ac:dyDescent="0.2">
      <c r="A27" s="203" t="s">
        <v>67</v>
      </c>
      <c r="B27" s="219" t="s">
        <v>25</v>
      </c>
      <c r="C27" s="220">
        <f>C23+C26</f>
        <v>601341.24</v>
      </c>
      <c r="D27" s="221">
        <f t="shared" ref="D27:N27" si="4">D23+D26</f>
        <v>497129.48999999987</v>
      </c>
      <c r="E27" s="221">
        <f t="shared" si="4"/>
        <v>436604.29</v>
      </c>
      <c r="F27" s="221">
        <f t="shared" si="4"/>
        <v>632557.68999999994</v>
      </c>
      <c r="G27" s="221">
        <f t="shared" si="4"/>
        <v>510875.34000000008</v>
      </c>
      <c r="H27" s="221">
        <f t="shared" si="4"/>
        <v>518509.08</v>
      </c>
      <c r="I27" s="221">
        <f t="shared" si="4"/>
        <v>521493.82</v>
      </c>
      <c r="J27" s="221">
        <f t="shared" si="4"/>
        <v>556629.97000000009</v>
      </c>
      <c r="K27" s="221">
        <f t="shared" si="4"/>
        <v>0</v>
      </c>
      <c r="L27" s="221">
        <f t="shared" si="4"/>
        <v>0</v>
      </c>
      <c r="M27" s="221">
        <f t="shared" si="4"/>
        <v>0</v>
      </c>
      <c r="N27" s="221">
        <f t="shared" si="4"/>
        <v>0</v>
      </c>
      <c r="O27" s="222">
        <f t="shared" si="1"/>
        <v>4275140.92</v>
      </c>
      <c r="P27" s="333">
        <f t="shared" si="0"/>
        <v>1.0772501431271775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65" t="s">
        <v>73</v>
      </c>
      <c r="H30" s="365"/>
      <c r="I30" s="365"/>
      <c r="J30" s="3"/>
      <c r="K30" s="3"/>
      <c r="L30" s="365" t="s">
        <v>49</v>
      </c>
      <c r="M30" s="365"/>
      <c r="N30" s="365"/>
    </row>
    <row r="31" spans="1:16" ht="18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8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2" sqref="B2"/>
    </sheetView>
  </sheetViews>
  <sheetFormatPr defaultRowHeight="17.25" customHeight="1" x14ac:dyDescent="0.45"/>
  <cols>
    <col min="1" max="1" width="6.625" style="62" customWidth="1"/>
    <col min="2" max="2" width="14.375" style="194" customWidth="1"/>
    <col min="3" max="14" width="8.5" style="61" customWidth="1"/>
    <col min="15" max="15" width="9.375" style="167" customWidth="1"/>
    <col min="16" max="16" width="11.625" style="322" customWidth="1"/>
    <col min="17" max="16384" width="9" style="61"/>
  </cols>
  <sheetData>
    <row r="1" spans="1:17" s="145" customFormat="1" ht="21" customHeight="1" x14ac:dyDescent="0.2">
      <c r="A1" s="139"/>
      <c r="B1" s="140"/>
      <c r="C1" s="162"/>
      <c r="D1" s="140" t="s">
        <v>44</v>
      </c>
      <c r="E1" s="162"/>
      <c r="F1" s="162"/>
      <c r="G1" s="162"/>
      <c r="H1" s="162"/>
      <c r="K1" s="140" t="str">
        <f>สรุปยอด!C3</f>
        <v xml:space="preserve"> ปีงบประมาณ   2562</v>
      </c>
      <c r="L1" s="162"/>
      <c r="M1" s="162"/>
      <c r="N1" s="162"/>
      <c r="O1" s="162"/>
      <c r="P1" s="321"/>
      <c r="Q1" s="144"/>
    </row>
    <row r="2" spans="1:17" s="145" customFormat="1" ht="21" customHeight="1" x14ac:dyDescent="0.2">
      <c r="A2" s="139"/>
      <c r="B2" s="140"/>
      <c r="C2" s="140" t="str">
        <f>'[1]1.1.ยา(ทั่วไป)'!C2</f>
        <v>จาก ฝ่ายเภสัชกรรมชุมชน  โรงพยาบาลกุมภวาปี</v>
      </c>
      <c r="D2" s="162"/>
      <c r="F2" s="162"/>
      <c r="G2" s="162"/>
      <c r="I2" s="162"/>
      <c r="J2" s="162"/>
      <c r="K2" s="162"/>
      <c r="M2" s="163"/>
      <c r="N2" s="164" t="str">
        <f>สรุปยอด!D4</f>
        <v>รายงานข้อมูลณ วันที่ 27/5/62</v>
      </c>
      <c r="O2" s="165"/>
      <c r="P2" s="321"/>
      <c r="Q2" s="144"/>
    </row>
    <row r="3" spans="1:17" s="207" customFormat="1" ht="5.25" customHeight="1" x14ac:dyDescent="0.45">
      <c r="A3" s="167"/>
      <c r="B3" s="223"/>
      <c r="O3" s="167"/>
      <c r="P3" s="326"/>
    </row>
    <row r="4" spans="1:17" s="207" customFormat="1" ht="43.5" customHeight="1" x14ac:dyDescent="0.45">
      <c r="A4" s="200" t="s">
        <v>0</v>
      </c>
      <c r="B4" s="224" t="s">
        <v>1</v>
      </c>
      <c r="C4" s="169" t="s">
        <v>27</v>
      </c>
      <c r="D4" s="169" t="s">
        <v>28</v>
      </c>
      <c r="E4" s="169" t="s">
        <v>29</v>
      </c>
      <c r="F4" s="169" t="s">
        <v>30</v>
      </c>
      <c r="G4" s="169" t="s">
        <v>31</v>
      </c>
      <c r="H4" s="169" t="s">
        <v>32</v>
      </c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69" t="s">
        <v>39</v>
      </c>
      <c r="P4" s="327" t="s">
        <v>40</v>
      </c>
    </row>
    <row r="5" spans="1:17" ht="17.25" customHeight="1" x14ac:dyDescent="0.45">
      <c r="A5" s="25">
        <v>1</v>
      </c>
      <c r="B5" s="26" t="s">
        <v>18</v>
      </c>
      <c r="C5" s="184">
        <f>'1.1รวมยาทั้งหมด(1+2+3+4)'!C5+'2.รวมวชย ทุกประเภท'!C5</f>
        <v>67444.55</v>
      </c>
      <c r="D5" s="184">
        <f>'1.1รวมยาทั้งหมด(1+2+3+4)'!D5+'2.รวมวชย ทุกประเภท'!D5</f>
        <v>39376.559999999998</v>
      </c>
      <c r="E5" s="184">
        <f>'1.1รวมยาทั้งหมด(1+2+3+4)'!E5+'2.รวมวชย ทุกประเภท'!E5</f>
        <v>75657.55</v>
      </c>
      <c r="F5" s="184">
        <f>'1.1รวมยาทั้งหมด(1+2+3+4)'!F5+'2.รวมวชย ทุกประเภท'!F5</f>
        <v>73301.430000000008</v>
      </c>
      <c r="G5" s="184">
        <f>'1.1รวมยาทั้งหมด(1+2+3+4)'!G5+'2.รวมวชย ทุกประเภท'!G5</f>
        <v>70385.33</v>
      </c>
      <c r="H5" s="184">
        <f>'1.1รวมยาทั้งหมด(1+2+3+4)'!H5+'2.รวมวชย ทุกประเภท'!H5</f>
        <v>61270.25</v>
      </c>
      <c r="I5" s="184">
        <f>'1.1รวมยาทั้งหมด(1+2+3+4)'!I5+'2.รวมวชย ทุกประเภท'!I5</f>
        <v>63978.35</v>
      </c>
      <c r="J5" s="184">
        <f>'1.1รวมยาทั้งหมด(1+2+3+4)'!J5+'2.รวมวชย ทุกประเภท'!J5</f>
        <v>82262.84</v>
      </c>
      <c r="K5" s="184">
        <f>'1.1รวมยาทั้งหมด(1+2+3+4)'!K5+'2.รวมวชย ทุกประเภท'!K5</f>
        <v>0</v>
      </c>
      <c r="L5" s="184">
        <f>'1.1รวมยาทั้งหมด(1+2+3+4)'!L5+'2.รวมวชย ทุกประเภท'!L5</f>
        <v>0</v>
      </c>
      <c r="M5" s="184">
        <f>'1.1รวมยาทั้งหมด(1+2+3+4)'!M5+'2.รวมวชย ทุกประเภท'!M5</f>
        <v>0</v>
      </c>
      <c r="N5" s="184">
        <f>'1.1รวมยาทั้งหมด(1+2+3+4)'!N5+'2.รวมวชย ทุกประเภท'!N5</f>
        <v>0</v>
      </c>
      <c r="O5" s="225">
        <f>SUM(C5:N5)</f>
        <v>533676.86</v>
      </c>
      <c r="P5" s="319">
        <f t="shared" ref="P5:P27" si="0">O5/$O$23</f>
        <v>0.17331066949372212</v>
      </c>
    </row>
    <row r="6" spans="1:17" ht="17.25" customHeight="1" x14ac:dyDescent="0.45">
      <c r="A6" s="25">
        <v>2</v>
      </c>
      <c r="B6" s="26" t="s">
        <v>19</v>
      </c>
      <c r="C6" s="184">
        <f>'1.1รวมยาทั้งหมด(1+2+3+4)'!C6+'2.รวมวชย ทุกประเภท'!C6</f>
        <v>20772.800000000003</v>
      </c>
      <c r="D6" s="184">
        <f>'1.1รวมยาทั้งหมด(1+2+3+4)'!D6+'2.รวมวชย ทุกประเภท'!D6</f>
        <v>48827.25</v>
      </c>
      <c r="E6" s="184">
        <f>'1.1รวมยาทั้งหมด(1+2+3+4)'!E6+'2.รวมวชย ทุกประเภท'!E6</f>
        <v>39206.76</v>
      </c>
      <c r="F6" s="184">
        <f>'1.1รวมยาทั้งหมด(1+2+3+4)'!F6+'2.รวมวชย ทุกประเภท'!F6</f>
        <v>46497.100000000006</v>
      </c>
      <c r="G6" s="184">
        <f>'1.1รวมยาทั้งหมด(1+2+3+4)'!G6+'2.รวมวชย ทุกประเภท'!G6</f>
        <v>41522.050000000003</v>
      </c>
      <c r="H6" s="184">
        <f>'1.1รวมยาทั้งหมด(1+2+3+4)'!H6+'2.รวมวชย ทุกประเภท'!H6</f>
        <v>36799.019999999997</v>
      </c>
      <c r="I6" s="184">
        <f>'1.1รวมยาทั้งหมด(1+2+3+4)'!I6+'2.รวมวชย ทุกประเภท'!I6</f>
        <v>43995.18</v>
      </c>
      <c r="J6" s="184">
        <f>'1.1รวมยาทั้งหมด(1+2+3+4)'!J6+'2.รวมวชย ทุกประเภท'!J6</f>
        <v>40594.050000000003</v>
      </c>
      <c r="K6" s="184">
        <f>'1.1รวมยาทั้งหมด(1+2+3+4)'!K6+'2.รวมวชย ทุกประเภท'!K6</f>
        <v>0</v>
      </c>
      <c r="L6" s="184">
        <f>'1.1รวมยาทั้งหมด(1+2+3+4)'!L6+'2.รวมวชย ทุกประเภท'!L6</f>
        <v>0</v>
      </c>
      <c r="M6" s="184">
        <f>'1.1รวมยาทั้งหมด(1+2+3+4)'!M6+'2.รวมวชย ทุกประเภท'!M6</f>
        <v>0</v>
      </c>
      <c r="N6" s="184">
        <f>'1.1รวมยาทั้งหมด(1+2+3+4)'!N6+'2.รวมวชย ทุกประเภท'!N6</f>
        <v>0</v>
      </c>
      <c r="O6" s="225">
        <f t="shared" ref="O6:O27" si="1">SUM(C6:N6)</f>
        <v>318214.21000000002</v>
      </c>
      <c r="P6" s="319">
        <f t="shared" si="0"/>
        <v>0.10333953354754016</v>
      </c>
    </row>
    <row r="7" spans="1:17" ht="17.25" customHeight="1" x14ac:dyDescent="0.45">
      <c r="A7" s="25">
        <v>3</v>
      </c>
      <c r="B7" s="26" t="s">
        <v>20</v>
      </c>
      <c r="C7" s="184">
        <f>'1.1รวมยาทั้งหมด(1+2+3+4)'!C7+'2.รวมวชย ทุกประเภท'!C7</f>
        <v>2484.5</v>
      </c>
      <c r="D7" s="184">
        <f>'1.1รวมยาทั้งหมด(1+2+3+4)'!D7+'2.รวมวชย ทุกประเภท'!D7</f>
        <v>14142.39</v>
      </c>
      <c r="E7" s="184">
        <f>'1.1รวมยาทั้งหมด(1+2+3+4)'!E7+'2.รวมวชย ทุกประเภท'!E7</f>
        <v>14962.41</v>
      </c>
      <c r="F7" s="184">
        <f>'1.1รวมยาทั้งหมด(1+2+3+4)'!F7+'2.รวมวชย ทุกประเภท'!F7</f>
        <v>20041.47</v>
      </c>
      <c r="G7" s="184">
        <f>'1.1รวมยาทั้งหมด(1+2+3+4)'!G7+'2.รวมวชย ทุกประเภท'!G7</f>
        <v>23695.17</v>
      </c>
      <c r="H7" s="184">
        <f>'1.1รวมยาทั้งหมด(1+2+3+4)'!H7+'2.รวมวชย ทุกประเภท'!H7</f>
        <v>21809.19</v>
      </c>
      <c r="I7" s="184">
        <f>'1.1รวมยาทั้งหมด(1+2+3+4)'!I7+'2.รวมวชย ทุกประเภท'!I7</f>
        <v>10387</v>
      </c>
      <c r="J7" s="184">
        <f>'1.1รวมยาทั้งหมด(1+2+3+4)'!J7+'2.รวมวชย ทุกประเภท'!J7</f>
        <v>33974.160000000003</v>
      </c>
      <c r="K7" s="184">
        <f>'1.1รวมยาทั้งหมด(1+2+3+4)'!K7+'2.รวมวชย ทุกประเภท'!K7</f>
        <v>0</v>
      </c>
      <c r="L7" s="184">
        <f>'1.1รวมยาทั้งหมด(1+2+3+4)'!L7+'2.รวมวชย ทุกประเภท'!L7</f>
        <v>0</v>
      </c>
      <c r="M7" s="184">
        <f>'1.1รวมยาทั้งหมด(1+2+3+4)'!M7+'2.รวมวชย ทุกประเภท'!M7</f>
        <v>0</v>
      </c>
      <c r="N7" s="184">
        <f>'1.1รวมยาทั้งหมด(1+2+3+4)'!N7+'2.รวมวชย ทุกประเภท'!N7</f>
        <v>0</v>
      </c>
      <c r="O7" s="225">
        <f t="shared" si="1"/>
        <v>141496.29</v>
      </c>
      <c r="P7" s="319">
        <f t="shared" si="0"/>
        <v>4.5950683997761983E-2</v>
      </c>
    </row>
    <row r="8" spans="1:17" ht="17.25" customHeight="1" x14ac:dyDescent="0.45">
      <c r="A8" s="25">
        <v>4</v>
      </c>
      <c r="B8" s="26" t="s">
        <v>21</v>
      </c>
      <c r="C8" s="184">
        <f>'1.1รวมยาทั้งหมด(1+2+3+4)'!C8+'2.รวมวชย ทุกประเภท'!C8</f>
        <v>23141.040000000001</v>
      </c>
      <c r="D8" s="184">
        <f>'1.1รวมยาทั้งหมด(1+2+3+4)'!D8+'2.รวมวชย ทุกประเภท'!D8</f>
        <v>65351.58</v>
      </c>
      <c r="E8" s="184">
        <f>'1.1รวมยาทั้งหมด(1+2+3+4)'!E8+'2.รวมวชย ทุกประเภท'!E8</f>
        <v>4567.9399999999996</v>
      </c>
      <c r="F8" s="184">
        <f>'1.1รวมยาทั้งหมด(1+2+3+4)'!F8+'2.รวมวชย ทุกประเภท'!F8</f>
        <v>11017</v>
      </c>
      <c r="G8" s="184">
        <f>'1.1รวมยาทั้งหมด(1+2+3+4)'!G8+'2.รวมวชย ทุกประเภท'!G8</f>
        <v>40905.08</v>
      </c>
      <c r="H8" s="184">
        <f>'1.1รวมยาทั้งหมด(1+2+3+4)'!H8+'2.รวมวชย ทุกประเภท'!H8</f>
        <v>29591.82</v>
      </c>
      <c r="I8" s="184">
        <f>'1.1รวมยาทั้งหมด(1+2+3+4)'!I8+'2.รวมวชย ทุกประเภท'!I8</f>
        <v>76939.63</v>
      </c>
      <c r="J8" s="184">
        <f>'1.1รวมยาทั้งหมด(1+2+3+4)'!J8+'2.รวมวชย ทุกประเภท'!J8</f>
        <v>60058.759999999995</v>
      </c>
      <c r="K8" s="184">
        <f>'1.1รวมยาทั้งหมด(1+2+3+4)'!K8+'2.รวมวชย ทุกประเภท'!K8</f>
        <v>0</v>
      </c>
      <c r="L8" s="184">
        <f>'1.1รวมยาทั้งหมด(1+2+3+4)'!L8+'2.รวมวชย ทุกประเภท'!L8</f>
        <v>0</v>
      </c>
      <c r="M8" s="184">
        <f>'1.1รวมยาทั้งหมด(1+2+3+4)'!M8+'2.รวมวชย ทุกประเภท'!M8</f>
        <v>0</v>
      </c>
      <c r="N8" s="184">
        <f>'1.1รวมยาทั้งหมด(1+2+3+4)'!N8+'2.รวมวชย ทุกประเภท'!N8</f>
        <v>0</v>
      </c>
      <c r="O8" s="225">
        <f t="shared" si="1"/>
        <v>311572.85000000003</v>
      </c>
      <c r="P8" s="319">
        <f t="shared" si="0"/>
        <v>0.1011827629730228</v>
      </c>
    </row>
    <row r="9" spans="1:17" ht="17.25" customHeight="1" x14ac:dyDescent="0.45">
      <c r="A9" s="25">
        <v>5</v>
      </c>
      <c r="B9" s="26" t="s">
        <v>2</v>
      </c>
      <c r="C9" s="184">
        <f>'1.1รวมยาทั้งหมด(1+2+3+4)'!C9+'2.รวมวชย ทุกประเภท'!C9</f>
        <v>11513.599999999999</v>
      </c>
      <c r="D9" s="184">
        <f>'1.1รวมยาทั้งหมด(1+2+3+4)'!D9+'2.รวมวชย ทุกประเภท'!D9</f>
        <v>17058.55</v>
      </c>
      <c r="E9" s="184">
        <f>'1.1รวมยาทั้งหมด(1+2+3+4)'!E9+'2.รวมวชย ทุกประเภท'!E9</f>
        <v>14676.029999999999</v>
      </c>
      <c r="F9" s="184">
        <f>'1.1รวมยาทั้งหมด(1+2+3+4)'!F9+'2.รวมวชย ทุกประเภท'!F9</f>
        <v>38328.199999999997</v>
      </c>
      <c r="G9" s="184">
        <f>'1.1รวมยาทั้งหมด(1+2+3+4)'!G9+'2.รวมวชย ทุกประเภท'!G9</f>
        <v>20024.2</v>
      </c>
      <c r="H9" s="184">
        <f>'1.1รวมยาทั้งหมด(1+2+3+4)'!H9+'2.รวมวชย ทุกประเภท'!H9</f>
        <v>11881.52</v>
      </c>
      <c r="I9" s="184">
        <f>'1.1รวมยาทั้งหมด(1+2+3+4)'!I9+'2.รวมวชย ทุกประเภท'!I9</f>
        <v>10433.66</v>
      </c>
      <c r="J9" s="184">
        <f>'1.1รวมยาทั้งหมด(1+2+3+4)'!J9+'2.รวมวชย ทุกประเภท'!J9</f>
        <v>16877.86</v>
      </c>
      <c r="K9" s="184">
        <f>'1.1รวมยาทั้งหมด(1+2+3+4)'!K9+'2.รวมวชย ทุกประเภท'!K9</f>
        <v>0</v>
      </c>
      <c r="L9" s="184">
        <f>'1.1รวมยาทั้งหมด(1+2+3+4)'!L9+'2.รวมวชย ทุกประเภท'!L9</f>
        <v>0</v>
      </c>
      <c r="M9" s="184">
        <f>'1.1รวมยาทั้งหมด(1+2+3+4)'!M9+'2.รวมวชย ทุกประเภท'!M9</f>
        <v>0</v>
      </c>
      <c r="N9" s="184">
        <f>'1.1รวมยาทั้งหมด(1+2+3+4)'!N9+'2.รวมวชย ทุกประเภท'!N9</f>
        <v>0</v>
      </c>
      <c r="O9" s="225">
        <f t="shared" si="1"/>
        <v>140793.62</v>
      </c>
      <c r="P9" s="319">
        <f t="shared" si="0"/>
        <v>4.5722493088129597E-2</v>
      </c>
    </row>
    <row r="10" spans="1:17" ht="17.25" customHeight="1" x14ac:dyDescent="0.45">
      <c r="A10" s="25">
        <v>6</v>
      </c>
      <c r="B10" s="26" t="s">
        <v>3</v>
      </c>
      <c r="C10" s="184">
        <f>'1.1รวมยาทั้งหมด(1+2+3+4)'!C10+'2.รวมวชย ทุกประเภท'!C10</f>
        <v>17219.11</v>
      </c>
      <c r="D10" s="184">
        <f>'1.1รวมยาทั้งหมด(1+2+3+4)'!D10+'2.รวมวชย ทุกประเภท'!D10</f>
        <v>30634.43</v>
      </c>
      <c r="E10" s="184">
        <f>'1.1รวมยาทั้งหมด(1+2+3+4)'!E10+'2.รวมวชย ทุกประเภท'!E10</f>
        <v>9476.98</v>
      </c>
      <c r="F10" s="184">
        <f>'1.1รวมยาทั้งหมด(1+2+3+4)'!F10+'2.รวมวชย ทุกประเภท'!F10</f>
        <v>12449.27</v>
      </c>
      <c r="G10" s="184">
        <f>'1.1รวมยาทั้งหมด(1+2+3+4)'!G10+'2.รวมวชย ทุกประเภท'!G10</f>
        <v>6078.6100000000006</v>
      </c>
      <c r="H10" s="184">
        <f>'1.1รวมยาทั้งหมด(1+2+3+4)'!H10+'2.รวมวชย ทุกประเภท'!H10</f>
        <v>8179</v>
      </c>
      <c r="I10" s="184">
        <f>'1.1รวมยาทั้งหมด(1+2+3+4)'!I10+'2.รวมวชย ทุกประเภท'!I10</f>
        <v>16482.509999999998</v>
      </c>
      <c r="J10" s="184">
        <f>'1.1รวมยาทั้งหมด(1+2+3+4)'!J10+'2.รวมวชย ทุกประเภท'!J10</f>
        <v>8459.49</v>
      </c>
      <c r="K10" s="184">
        <f>'1.1รวมยาทั้งหมด(1+2+3+4)'!K10+'2.รวมวชย ทุกประเภท'!K10</f>
        <v>0</v>
      </c>
      <c r="L10" s="184">
        <f>'1.1รวมยาทั้งหมด(1+2+3+4)'!L10+'2.รวมวชย ทุกประเภท'!L10</f>
        <v>0</v>
      </c>
      <c r="M10" s="184">
        <f>'1.1รวมยาทั้งหมด(1+2+3+4)'!M10+'2.รวมวชย ทุกประเภท'!M10</f>
        <v>0</v>
      </c>
      <c r="N10" s="184">
        <f>'1.1รวมยาทั้งหมด(1+2+3+4)'!N10+'2.รวมวชย ทุกประเภท'!N10</f>
        <v>0</v>
      </c>
      <c r="O10" s="225">
        <f t="shared" si="1"/>
        <v>108979.40000000001</v>
      </c>
      <c r="P10" s="319">
        <f t="shared" si="0"/>
        <v>3.5390878246105976E-2</v>
      </c>
    </row>
    <row r="11" spans="1:17" ht="17.25" customHeight="1" x14ac:dyDescent="0.45">
      <c r="A11" s="25">
        <v>7</v>
      </c>
      <c r="B11" s="26" t="s">
        <v>4</v>
      </c>
      <c r="C11" s="184">
        <f>'1.1รวมยาทั้งหมด(1+2+3+4)'!C11+'2.รวมวชย ทุกประเภท'!C11</f>
        <v>9056</v>
      </c>
      <c r="D11" s="184">
        <f>'1.1รวมยาทั้งหมด(1+2+3+4)'!D11+'2.รวมวชย ทุกประเภท'!D11</f>
        <v>14285.79</v>
      </c>
      <c r="E11" s="184">
        <f>'1.1รวมยาทั้งหมด(1+2+3+4)'!E11+'2.รวมวชย ทุกประเภท'!E11</f>
        <v>6854.95</v>
      </c>
      <c r="F11" s="184">
        <f>'1.1รวมยาทั้งหมด(1+2+3+4)'!F11+'2.รวมวชย ทุกประเภท'!F11</f>
        <v>28836.6</v>
      </c>
      <c r="G11" s="184">
        <f>'1.1รวมยาทั้งหมด(1+2+3+4)'!G11+'2.รวมวชย ทุกประเภท'!G11</f>
        <v>19109.07</v>
      </c>
      <c r="H11" s="184">
        <f>'1.1รวมยาทั้งหมด(1+2+3+4)'!H11+'2.รวมวชย ทุกประเภท'!H11</f>
        <v>7399.95</v>
      </c>
      <c r="I11" s="184">
        <f>'1.1รวมยาทั้งหมด(1+2+3+4)'!I11+'2.รวมวชย ทุกประเภท'!I11</f>
        <v>10892.75</v>
      </c>
      <c r="J11" s="184">
        <f>'1.1รวมยาทั้งหมด(1+2+3+4)'!J11+'2.รวมวชย ทุกประเภท'!J11</f>
        <v>28647.440000000002</v>
      </c>
      <c r="K11" s="184">
        <f>'1.1รวมยาทั้งหมด(1+2+3+4)'!K11+'2.รวมวชย ทุกประเภท'!K11</f>
        <v>0</v>
      </c>
      <c r="L11" s="184">
        <f>'1.1รวมยาทั้งหมด(1+2+3+4)'!L11+'2.รวมวชย ทุกประเภท'!L11</f>
        <v>0</v>
      </c>
      <c r="M11" s="184">
        <f>'1.1รวมยาทั้งหมด(1+2+3+4)'!M11+'2.รวมวชย ทุกประเภท'!M11</f>
        <v>0</v>
      </c>
      <c r="N11" s="184">
        <f>'1.1รวมยาทั้งหมด(1+2+3+4)'!N11+'2.รวมวชย ทุกประเภท'!N11</f>
        <v>0</v>
      </c>
      <c r="O11" s="225">
        <f t="shared" si="1"/>
        <v>125082.55</v>
      </c>
      <c r="P11" s="319">
        <f t="shared" si="0"/>
        <v>4.0620349329895951E-2</v>
      </c>
    </row>
    <row r="12" spans="1:17" ht="17.25" customHeight="1" x14ac:dyDescent="0.45">
      <c r="A12" s="25">
        <v>8</v>
      </c>
      <c r="B12" s="26" t="s">
        <v>5</v>
      </c>
      <c r="C12" s="184">
        <f>'1.1รวมยาทั้งหมด(1+2+3+4)'!C12+'2.รวมวชย ทุกประเภท'!C12</f>
        <v>14035</v>
      </c>
      <c r="D12" s="184">
        <f>'1.1รวมยาทั้งหมด(1+2+3+4)'!D12+'2.รวมวชย ทุกประเภท'!D12</f>
        <v>73402.47</v>
      </c>
      <c r="E12" s="184">
        <f>'1.1รวมยาทั้งหมด(1+2+3+4)'!E12+'2.รวมวชย ทุกประเภท'!E12</f>
        <v>27802.13</v>
      </c>
      <c r="F12" s="184">
        <f>'1.1รวมยาทั้งหมด(1+2+3+4)'!F12+'2.รวมวชย ทุกประเภท'!F12</f>
        <v>47119.25</v>
      </c>
      <c r="G12" s="184">
        <f>'1.1รวมยาทั้งหมด(1+2+3+4)'!G12+'2.รวมวชย ทุกประเภท'!G12</f>
        <v>11003.25</v>
      </c>
      <c r="H12" s="184">
        <f>'1.1รวมยาทั้งหมด(1+2+3+4)'!H12+'2.รวมวชย ทุกประเภท'!H12</f>
        <v>32675.910000000003</v>
      </c>
      <c r="I12" s="184">
        <f>'1.1รวมยาทั้งหมด(1+2+3+4)'!I12+'2.รวมวชย ทุกประเภท'!I12</f>
        <v>9000</v>
      </c>
      <c r="J12" s="184">
        <f>'1.1รวมยาทั้งหมด(1+2+3+4)'!J12+'2.รวมวชย ทุกประเภท'!J12</f>
        <v>35160.78</v>
      </c>
      <c r="K12" s="184">
        <f>'1.1รวมยาทั้งหมด(1+2+3+4)'!K12+'2.รวมวชย ทุกประเภท'!K12</f>
        <v>0</v>
      </c>
      <c r="L12" s="184">
        <f>'1.1รวมยาทั้งหมด(1+2+3+4)'!L12+'2.รวมวชย ทุกประเภท'!L12</f>
        <v>0</v>
      </c>
      <c r="M12" s="184">
        <f>'1.1รวมยาทั้งหมด(1+2+3+4)'!M12+'2.รวมวชย ทุกประเภท'!M12</f>
        <v>0</v>
      </c>
      <c r="N12" s="184">
        <f>'1.1รวมยาทั้งหมด(1+2+3+4)'!N12+'2.รวมวชย ทุกประเภท'!N12</f>
        <v>0</v>
      </c>
      <c r="O12" s="225">
        <f t="shared" si="1"/>
        <v>250198.79</v>
      </c>
      <c r="P12" s="319">
        <f t="shared" si="0"/>
        <v>8.1251639431057954E-2</v>
      </c>
    </row>
    <row r="13" spans="1:17" ht="17.25" customHeight="1" x14ac:dyDescent="0.45">
      <c r="A13" s="25">
        <v>9</v>
      </c>
      <c r="B13" s="26" t="s">
        <v>6</v>
      </c>
      <c r="C13" s="184">
        <f>'1.1รวมยาทั้งหมด(1+2+3+4)'!C13+'2.รวมวชย ทุกประเภท'!C13</f>
        <v>18115.809999999998</v>
      </c>
      <c r="D13" s="184">
        <f>'1.1รวมยาทั้งหมด(1+2+3+4)'!D13+'2.รวมวชย ทุกประเภท'!D13</f>
        <v>15020.320000000002</v>
      </c>
      <c r="E13" s="184">
        <f>'1.1รวมยาทั้งหมด(1+2+3+4)'!E13+'2.รวมวชย ทุกประเภท'!E13</f>
        <v>20559.04</v>
      </c>
      <c r="F13" s="184">
        <f>'1.1รวมยาทั้งหมด(1+2+3+4)'!F13+'2.รวมวชย ทุกประเภท'!F13</f>
        <v>17466.22</v>
      </c>
      <c r="G13" s="184">
        <f>'1.1รวมยาทั้งหมด(1+2+3+4)'!G13+'2.รวมวชย ทุกประเภท'!G13</f>
        <v>11390.17</v>
      </c>
      <c r="H13" s="184">
        <f>'1.1รวมยาทั้งหมด(1+2+3+4)'!H13+'2.รวมวชย ทุกประเภท'!H13</f>
        <v>17229.169999999998</v>
      </c>
      <c r="I13" s="184">
        <f>'1.1รวมยาทั้งหมด(1+2+3+4)'!I13+'2.รวมวชย ทุกประเภท'!I13</f>
        <v>21690.42</v>
      </c>
      <c r="J13" s="184">
        <f>'1.1รวมยาทั้งหมด(1+2+3+4)'!J13+'2.รวมวชย ทุกประเภท'!J13</f>
        <v>4345.33</v>
      </c>
      <c r="K13" s="184">
        <f>'1.1รวมยาทั้งหมด(1+2+3+4)'!K13+'2.รวมวชย ทุกประเภท'!K13</f>
        <v>0</v>
      </c>
      <c r="L13" s="184">
        <f>'1.1รวมยาทั้งหมด(1+2+3+4)'!L13+'2.รวมวชย ทุกประเภท'!L13</f>
        <v>0</v>
      </c>
      <c r="M13" s="184">
        <f>'1.1รวมยาทั้งหมด(1+2+3+4)'!M13+'2.รวมวชย ทุกประเภท'!M13</f>
        <v>0</v>
      </c>
      <c r="N13" s="184">
        <f>'1.1รวมยาทั้งหมด(1+2+3+4)'!N13+'2.รวมวชย ทุกประเภท'!N13</f>
        <v>0</v>
      </c>
      <c r="O13" s="225">
        <f t="shared" si="1"/>
        <v>125816.48</v>
      </c>
      <c r="P13" s="319">
        <f t="shared" si="0"/>
        <v>4.0858691872350431E-2</v>
      </c>
    </row>
    <row r="14" spans="1:17" ht="17.25" customHeight="1" x14ac:dyDescent="0.45">
      <c r="A14" s="25">
        <v>10</v>
      </c>
      <c r="B14" s="26" t="s">
        <v>7</v>
      </c>
      <c r="C14" s="184">
        <f>'1.1รวมยาทั้งหมด(1+2+3+4)'!C14+'2.รวมวชย ทุกประเภท'!C14</f>
        <v>17633.059999999998</v>
      </c>
      <c r="D14" s="184">
        <f>'1.1รวมยาทั้งหมด(1+2+3+4)'!D14+'2.รวมวชย ทุกประเภท'!D14</f>
        <v>6980.38</v>
      </c>
      <c r="E14" s="184">
        <f>'1.1รวมยาทั้งหมด(1+2+3+4)'!E14+'2.รวมวชย ทุกประเภท'!E14</f>
        <v>5220.33</v>
      </c>
      <c r="F14" s="184">
        <f>'1.1รวมยาทั้งหมด(1+2+3+4)'!F14+'2.รวมวชย ทุกประเภท'!F14</f>
        <v>13675.939999999999</v>
      </c>
      <c r="G14" s="184">
        <f>'1.1รวมยาทั้งหมด(1+2+3+4)'!G14+'2.รวมวชย ทุกประเภท'!G14</f>
        <v>780</v>
      </c>
      <c r="H14" s="184">
        <f>'1.1รวมยาทั้งหมด(1+2+3+4)'!H14+'2.รวมวชย ทุกประเภท'!H14</f>
        <v>22560.68</v>
      </c>
      <c r="I14" s="184">
        <f>'1.1รวมยาทั้งหมด(1+2+3+4)'!I14+'2.รวมวชย ทุกประเภท'!I14</f>
        <v>9222</v>
      </c>
      <c r="J14" s="184">
        <f>'1.1รวมยาทั้งหมด(1+2+3+4)'!J14+'2.รวมวชย ทุกประเภท'!J14</f>
        <v>12154.470000000001</v>
      </c>
      <c r="K14" s="184">
        <f>'1.1รวมยาทั้งหมด(1+2+3+4)'!K14+'2.รวมวชย ทุกประเภท'!K14</f>
        <v>0</v>
      </c>
      <c r="L14" s="184">
        <f>'1.1รวมยาทั้งหมด(1+2+3+4)'!L14+'2.รวมวชย ทุกประเภท'!L14</f>
        <v>0</v>
      </c>
      <c r="M14" s="184">
        <f>'1.1รวมยาทั้งหมด(1+2+3+4)'!M14+'2.รวมวชย ทุกประเภท'!M14</f>
        <v>0</v>
      </c>
      <c r="N14" s="184">
        <f>'1.1รวมยาทั้งหมด(1+2+3+4)'!N14+'2.รวมวชย ทุกประเภท'!N14</f>
        <v>0</v>
      </c>
      <c r="O14" s="225">
        <f t="shared" si="1"/>
        <v>88226.859999999986</v>
      </c>
      <c r="P14" s="319">
        <f t="shared" si="0"/>
        <v>2.8651525520384923E-2</v>
      </c>
    </row>
    <row r="15" spans="1:17" ht="17.25" customHeight="1" x14ac:dyDescent="0.45">
      <c r="A15" s="25">
        <v>11</v>
      </c>
      <c r="B15" s="26" t="s">
        <v>8</v>
      </c>
      <c r="C15" s="184">
        <f>'1.1รวมยาทั้งหมด(1+2+3+4)'!C15+'2.รวมวชย ทุกประเภท'!C15</f>
        <v>27907.090000000004</v>
      </c>
      <c r="D15" s="184">
        <f>'1.1รวมยาทั้งหมด(1+2+3+4)'!D15+'2.รวมวชย ทุกประเภท'!D15</f>
        <v>15677.63</v>
      </c>
      <c r="E15" s="184">
        <f>'1.1รวมยาทั้งหมด(1+2+3+4)'!E15+'2.รวมวชย ทุกประเภท'!E15</f>
        <v>2373.1</v>
      </c>
      <c r="F15" s="184">
        <f>'1.1รวมยาทั้งหมด(1+2+3+4)'!F15+'2.รวมวชย ทุกประเภท'!F15</f>
        <v>35588.490000000005</v>
      </c>
      <c r="G15" s="184">
        <f>'1.1รวมยาทั้งหมด(1+2+3+4)'!G15+'2.รวมวชย ทุกประเภท'!G15</f>
        <v>18141.32</v>
      </c>
      <c r="H15" s="184">
        <f>'1.1รวมยาทั้งหมด(1+2+3+4)'!H15+'2.รวมวชย ทุกประเภท'!H15</f>
        <v>21674.35</v>
      </c>
      <c r="I15" s="184">
        <f>'1.1รวมยาทั้งหมด(1+2+3+4)'!I15+'2.รวมวชย ทุกประเภท'!I15</f>
        <v>23925.1</v>
      </c>
      <c r="J15" s="184">
        <f>'1.1รวมยาทั้งหมด(1+2+3+4)'!J15+'2.รวมวชย ทุกประเภท'!J15</f>
        <v>24254.16</v>
      </c>
      <c r="K15" s="184">
        <f>'1.1รวมยาทั้งหมด(1+2+3+4)'!K15+'2.รวมวชย ทุกประเภท'!K15</f>
        <v>0</v>
      </c>
      <c r="L15" s="184">
        <f>'1.1รวมยาทั้งหมด(1+2+3+4)'!L15+'2.รวมวชย ทุกประเภท'!L15</f>
        <v>0</v>
      </c>
      <c r="M15" s="184">
        <f>'1.1รวมยาทั้งหมด(1+2+3+4)'!M15+'2.รวมวชย ทุกประเภท'!M15</f>
        <v>0</v>
      </c>
      <c r="N15" s="184">
        <f>'1.1รวมยาทั้งหมด(1+2+3+4)'!N15+'2.รวมวชย ทุกประเภท'!N15</f>
        <v>0</v>
      </c>
      <c r="O15" s="225">
        <f t="shared" si="1"/>
        <v>169541.24000000002</v>
      </c>
      <c r="P15" s="319">
        <f t="shared" si="0"/>
        <v>5.5058234698794749E-2</v>
      </c>
    </row>
    <row r="16" spans="1:17" ht="17.25" customHeight="1" x14ac:dyDescent="0.45">
      <c r="A16" s="25">
        <v>12</v>
      </c>
      <c r="B16" s="26" t="s">
        <v>9</v>
      </c>
      <c r="C16" s="184">
        <f>'1.1รวมยาทั้งหมด(1+2+3+4)'!C16+'2.รวมวชย ทุกประเภท'!C16</f>
        <v>13270.55</v>
      </c>
      <c r="D16" s="184">
        <f>'1.1รวมยาทั้งหมด(1+2+3+4)'!D16+'2.รวมวชย ทุกประเภท'!D16</f>
        <v>9146.1</v>
      </c>
      <c r="E16" s="184">
        <f>'1.1รวมยาทั้งหมด(1+2+3+4)'!E16+'2.รวมวชย ทุกประเภท'!E16</f>
        <v>11570.3</v>
      </c>
      <c r="F16" s="184">
        <f>'1.1รวมยาทั้งหมด(1+2+3+4)'!F16+'2.รวมวชย ทุกประเภท'!F16</f>
        <v>8068.3600000000006</v>
      </c>
      <c r="G16" s="184">
        <f>'1.1รวมยาทั้งหมด(1+2+3+4)'!G16+'2.รวมวชย ทุกประเภท'!G16</f>
        <v>10562.09</v>
      </c>
      <c r="H16" s="184">
        <f>'1.1รวมยาทั้งหมด(1+2+3+4)'!H16+'2.รวมวชย ทุกประเภท'!H16</f>
        <v>10041.67</v>
      </c>
      <c r="I16" s="184">
        <f>'1.1รวมยาทั้งหมด(1+2+3+4)'!I16+'2.รวมวชย ทุกประเภท'!I16</f>
        <v>16007.08</v>
      </c>
      <c r="J16" s="184">
        <f>'1.1รวมยาทั้งหมด(1+2+3+4)'!J16+'2.รวมวชย ทุกประเภท'!J16</f>
        <v>15214.369999999999</v>
      </c>
      <c r="K16" s="184">
        <f>'1.1รวมยาทั้งหมด(1+2+3+4)'!K16+'2.รวมวชย ทุกประเภท'!K16</f>
        <v>0</v>
      </c>
      <c r="L16" s="184">
        <f>'1.1รวมยาทั้งหมด(1+2+3+4)'!L16+'2.รวมวชย ทุกประเภท'!L16</f>
        <v>0</v>
      </c>
      <c r="M16" s="184">
        <f>'1.1รวมยาทั้งหมด(1+2+3+4)'!M16+'2.รวมวชย ทุกประเภท'!M16</f>
        <v>0</v>
      </c>
      <c r="N16" s="184">
        <f>'1.1รวมยาทั้งหมด(1+2+3+4)'!N16+'2.รวมวชย ทุกประเภท'!N16</f>
        <v>0</v>
      </c>
      <c r="O16" s="225">
        <f t="shared" si="1"/>
        <v>93880.51999999999</v>
      </c>
      <c r="P16" s="319">
        <f t="shared" si="0"/>
        <v>3.0487542168530165E-2</v>
      </c>
    </row>
    <row r="17" spans="1:16" ht="17.25" customHeight="1" x14ac:dyDescent="0.45">
      <c r="A17" s="25">
        <v>13</v>
      </c>
      <c r="B17" s="26" t="s">
        <v>10</v>
      </c>
      <c r="C17" s="184">
        <f>'1.1รวมยาทั้งหมด(1+2+3+4)'!C17+'2.รวมวชย ทุกประเภท'!C17</f>
        <v>14321</v>
      </c>
      <c r="D17" s="184">
        <f>'1.1รวมยาทั้งหมด(1+2+3+4)'!D17+'2.รวมวชย ทุกประเภท'!D17</f>
        <v>355.44</v>
      </c>
      <c r="E17" s="184">
        <f>'1.1รวมยาทั้งหมด(1+2+3+4)'!E17+'2.รวมวชย ทุกประเภท'!E17</f>
        <v>15658.08</v>
      </c>
      <c r="F17" s="184">
        <f>'1.1รวมยาทั้งหมด(1+2+3+4)'!F17+'2.รวมวชย ทุกประเภท'!F17</f>
        <v>43357.509999999995</v>
      </c>
      <c r="G17" s="184">
        <f>'1.1รวมยาทั้งหมด(1+2+3+4)'!G17+'2.รวมวชย ทุกประเภท'!G17</f>
        <v>0</v>
      </c>
      <c r="H17" s="184">
        <f>'1.1รวมยาทั้งหมด(1+2+3+4)'!H17+'2.รวมวชย ทุกประเภท'!H17</f>
        <v>28873.340000000004</v>
      </c>
      <c r="I17" s="184">
        <f>'1.1รวมยาทั้งหมด(1+2+3+4)'!I17+'2.รวมวชย ทุกประเภท'!I17</f>
        <v>31990.22</v>
      </c>
      <c r="J17" s="184">
        <f>'1.1รวมยาทั้งหมด(1+2+3+4)'!J17+'2.รวมวชย ทุกประเภท'!J17</f>
        <v>0</v>
      </c>
      <c r="K17" s="184">
        <f>'1.1รวมยาทั้งหมด(1+2+3+4)'!K17+'2.รวมวชย ทุกประเภท'!K17</f>
        <v>0</v>
      </c>
      <c r="L17" s="184">
        <f>'1.1รวมยาทั้งหมด(1+2+3+4)'!L17+'2.รวมวชย ทุกประเภท'!L17</f>
        <v>0</v>
      </c>
      <c r="M17" s="184">
        <f>'1.1รวมยาทั้งหมด(1+2+3+4)'!M17+'2.รวมวชย ทุกประเภท'!M17</f>
        <v>0</v>
      </c>
      <c r="N17" s="184">
        <f>'1.1รวมยาทั้งหมด(1+2+3+4)'!N17+'2.รวมวชย ทุกประเภท'!N17</f>
        <v>0</v>
      </c>
      <c r="O17" s="225">
        <f t="shared" si="1"/>
        <v>134555.59</v>
      </c>
      <c r="P17" s="319">
        <f t="shared" si="0"/>
        <v>4.3696703257890518E-2</v>
      </c>
    </row>
    <row r="18" spans="1:16" ht="17.25" customHeight="1" x14ac:dyDescent="0.45">
      <c r="A18" s="25">
        <v>14</v>
      </c>
      <c r="B18" s="26" t="s">
        <v>11</v>
      </c>
      <c r="C18" s="184">
        <f>'1.1รวมยาทั้งหมด(1+2+3+4)'!C18+'2.รวมวชย ทุกประเภท'!C18</f>
        <v>14044.2</v>
      </c>
      <c r="D18" s="184">
        <f>'1.1รวมยาทั้งหมด(1+2+3+4)'!D18+'2.รวมวชย ทุกประเภท'!D18</f>
        <v>7097.82</v>
      </c>
      <c r="E18" s="184">
        <f>'1.1รวมยาทั้งหมด(1+2+3+4)'!E18+'2.รวมวชย ทุกประเภท'!E18</f>
        <v>10179.59</v>
      </c>
      <c r="F18" s="184">
        <f>'1.1รวมยาทั้งหมด(1+2+3+4)'!F18+'2.รวมวชย ทุกประเภท'!F18</f>
        <v>6616.52</v>
      </c>
      <c r="G18" s="184">
        <f>'1.1รวมยาทั้งหมด(1+2+3+4)'!G18+'2.รวมวชย ทุกประเภท'!G18</f>
        <v>11227.51</v>
      </c>
      <c r="H18" s="184">
        <f>'1.1รวมยาทั้งหมด(1+2+3+4)'!H18+'2.รวมวชย ทุกประเภท'!H18</f>
        <v>2236</v>
      </c>
      <c r="I18" s="184">
        <f>'1.1รวมยาทั้งหมด(1+2+3+4)'!I18+'2.รวมวชย ทุกประเภท'!I18</f>
        <v>10163.44</v>
      </c>
      <c r="J18" s="184">
        <f>'1.1รวมยาทั้งหมด(1+2+3+4)'!J18+'2.รวมวชย ทุกประเภท'!J18</f>
        <v>2675.12</v>
      </c>
      <c r="K18" s="184">
        <f>'1.1รวมยาทั้งหมด(1+2+3+4)'!K18+'2.รวมวชย ทุกประเภท'!K18</f>
        <v>0</v>
      </c>
      <c r="L18" s="184">
        <f>'1.1รวมยาทั้งหมด(1+2+3+4)'!L18+'2.รวมวชย ทุกประเภท'!L18</f>
        <v>0</v>
      </c>
      <c r="M18" s="184">
        <f>'1.1รวมยาทั้งหมด(1+2+3+4)'!M18+'2.รวมวชย ทุกประเภท'!M18</f>
        <v>0</v>
      </c>
      <c r="N18" s="184">
        <f>'1.1รวมยาทั้งหมด(1+2+3+4)'!N18+'2.รวมวชย ทุกประเภท'!N18</f>
        <v>0</v>
      </c>
      <c r="O18" s="225">
        <f t="shared" si="1"/>
        <v>64240.200000000012</v>
      </c>
      <c r="P18" s="319">
        <f t="shared" si="0"/>
        <v>2.086189772292284E-2</v>
      </c>
    </row>
    <row r="19" spans="1:16" ht="17.25" customHeight="1" x14ac:dyDescent="0.45">
      <c r="A19" s="25">
        <v>15</v>
      </c>
      <c r="B19" s="26" t="s">
        <v>12</v>
      </c>
      <c r="C19" s="184">
        <f>'1.1รวมยาทั้งหมด(1+2+3+4)'!C19+'2.รวมวชย ทุกประเภท'!C19</f>
        <v>8560</v>
      </c>
      <c r="D19" s="184">
        <f>'1.1รวมยาทั้งหมด(1+2+3+4)'!D19+'2.รวมวชย ทุกประเภท'!D19</f>
        <v>18335.96</v>
      </c>
      <c r="E19" s="184">
        <f>'1.1รวมยาทั้งหมด(1+2+3+4)'!E19+'2.รวมวชย ทุกประเภท'!E19</f>
        <v>26410.31</v>
      </c>
      <c r="F19" s="184">
        <f>'1.1รวมยาทั้งหมด(1+2+3+4)'!F19+'2.รวมวชย ทุกประเภท'!F19</f>
        <v>13477.5</v>
      </c>
      <c r="G19" s="184">
        <f>'1.1รวมยาทั้งหมด(1+2+3+4)'!G19+'2.รวมวชย ทุกประเภท'!G19</f>
        <v>47333.1</v>
      </c>
      <c r="H19" s="184">
        <f>'1.1รวมยาทั้งหมด(1+2+3+4)'!H19+'2.รวมวชย ทุกประเภท'!H19</f>
        <v>21755.760000000002</v>
      </c>
      <c r="I19" s="184">
        <f>'1.1รวมยาทั้งหมด(1+2+3+4)'!I19+'2.รวมวชย ทุกประเภท'!I19</f>
        <v>1108.6600000000001</v>
      </c>
      <c r="J19" s="184">
        <f>'1.1รวมยาทั้งหมด(1+2+3+4)'!J19+'2.รวมวชย ทุกประเภท'!J19</f>
        <v>50295.38</v>
      </c>
      <c r="K19" s="184">
        <f>'1.1รวมยาทั้งหมด(1+2+3+4)'!K19+'2.รวมวชย ทุกประเภท'!K19</f>
        <v>0</v>
      </c>
      <c r="L19" s="184">
        <f>'1.1รวมยาทั้งหมด(1+2+3+4)'!L19+'2.รวมวชย ทุกประเภท'!L19</f>
        <v>0</v>
      </c>
      <c r="M19" s="184">
        <f>'1.1รวมยาทั้งหมด(1+2+3+4)'!M19+'2.รวมวชย ทุกประเภท'!M19</f>
        <v>0</v>
      </c>
      <c r="N19" s="184">
        <f>'1.1รวมยาทั้งหมด(1+2+3+4)'!N19+'2.รวมวชย ทุกประเภท'!N19</f>
        <v>0</v>
      </c>
      <c r="O19" s="225">
        <f t="shared" si="1"/>
        <v>187276.67</v>
      </c>
      <c r="P19" s="319">
        <f t="shared" si="0"/>
        <v>6.0817785988050654E-2</v>
      </c>
    </row>
    <row r="20" spans="1:16" ht="17.25" customHeight="1" x14ac:dyDescent="0.45">
      <c r="A20" s="25">
        <v>16</v>
      </c>
      <c r="B20" s="128" t="s">
        <v>13</v>
      </c>
      <c r="C20" s="184">
        <f>'1.1รวมยาทั้งหมด(1+2+3+4)'!C20+'2.รวมวชย ทุกประเภท'!C20</f>
        <v>18142.18</v>
      </c>
      <c r="D20" s="184">
        <f>'1.1รวมยาทั้งหมด(1+2+3+4)'!D20+'2.รวมวชย ทุกประเภท'!D20</f>
        <v>0</v>
      </c>
      <c r="E20" s="184">
        <f>'1.1รวมยาทั้งหมด(1+2+3+4)'!E20+'2.รวมวชย ทุกประเภท'!E20</f>
        <v>11166</v>
      </c>
      <c r="F20" s="184">
        <f>'1.1รวมยาทั้งหมด(1+2+3+4)'!F20+'2.รวมวชย ทุกประเภท'!F20</f>
        <v>13952.2</v>
      </c>
      <c r="G20" s="184">
        <f>'1.1รวมยาทั้งหมด(1+2+3+4)'!G20+'2.รวมวชย ทุกประเภท'!G20</f>
        <v>18005.449999999997</v>
      </c>
      <c r="H20" s="184">
        <f>'1.1รวมยาทั้งหมด(1+2+3+4)'!H20+'2.รวมวชย ทุกประเภท'!H20</f>
        <v>4568</v>
      </c>
      <c r="I20" s="184">
        <f>'1.1รวมยาทั้งหมด(1+2+3+4)'!I20+'2.รวมวชย ทุกประเภท'!I20</f>
        <v>15826.32</v>
      </c>
      <c r="J20" s="184">
        <f>'1.1รวมยาทั้งหมด(1+2+3+4)'!J20+'2.รวมวชย ทุกประเภท'!J20</f>
        <v>7356.54</v>
      </c>
      <c r="K20" s="184">
        <f>'1.1รวมยาทั้งหมด(1+2+3+4)'!K20+'2.รวมวชย ทุกประเภท'!K20</f>
        <v>0</v>
      </c>
      <c r="L20" s="184">
        <f>'1.1รวมยาทั้งหมด(1+2+3+4)'!L20+'2.รวมวชย ทุกประเภท'!L20</f>
        <v>0</v>
      </c>
      <c r="M20" s="184">
        <f>'1.1รวมยาทั้งหมด(1+2+3+4)'!M20+'2.รวมวชย ทุกประเภท'!M20</f>
        <v>0</v>
      </c>
      <c r="N20" s="184">
        <f>'1.1รวมยาทั้งหมด(1+2+3+4)'!N20+'2.รวมวชย ทุกประเภท'!N20</f>
        <v>0</v>
      </c>
      <c r="O20" s="225">
        <f t="shared" si="1"/>
        <v>89016.689999999988</v>
      </c>
      <c r="P20" s="319">
        <f t="shared" si="0"/>
        <v>2.8908021494533448E-2</v>
      </c>
    </row>
    <row r="21" spans="1:16" ht="17.25" customHeight="1" x14ac:dyDescent="0.45">
      <c r="A21" s="25">
        <v>17</v>
      </c>
      <c r="B21" s="26" t="s">
        <v>14</v>
      </c>
      <c r="C21" s="184">
        <f>'1.1รวมยาทั้งหมด(1+2+3+4)'!C21+'2.รวมวชย ทุกประเภท'!C21</f>
        <v>18107.11</v>
      </c>
      <c r="D21" s="184">
        <f>'1.1รวมยาทั้งหมด(1+2+3+4)'!D21+'2.รวมวชย ทุกประเภท'!D21</f>
        <v>17908.989999999998</v>
      </c>
      <c r="E21" s="184">
        <f>'1.1รวมยาทั้งหมด(1+2+3+4)'!E21+'2.รวมวชย ทุกประเภท'!E21</f>
        <v>14141.57</v>
      </c>
      <c r="F21" s="184">
        <f>'1.1รวมยาทั้งหมด(1+2+3+4)'!F21+'2.รวมวชย ทุกประเภท'!F21</f>
        <v>18817.66</v>
      </c>
      <c r="G21" s="184">
        <f>'1.1รวมยาทั้งหมด(1+2+3+4)'!G21+'2.รวมวชย ทุกประเภท'!G21</f>
        <v>19003.87</v>
      </c>
      <c r="H21" s="184">
        <f>'1.1รวมยาทั้งหมด(1+2+3+4)'!H21+'2.รวมวชย ทุกประเภท'!H21</f>
        <v>17872.96</v>
      </c>
      <c r="I21" s="184">
        <f>'1.1รวมยาทั้งหมด(1+2+3+4)'!I21+'2.รวมวชย ทุกประเภท'!I21</f>
        <v>13940.77</v>
      </c>
      <c r="J21" s="184">
        <f>'1.1รวมยาทั้งหมด(1+2+3+4)'!J21+'2.รวมวชย ทุกประเภท'!J21</f>
        <v>17030.849999999999</v>
      </c>
      <c r="K21" s="184">
        <f>'1.1รวมยาทั้งหมด(1+2+3+4)'!K21+'2.รวมวชย ทุกประเภท'!K21</f>
        <v>0</v>
      </c>
      <c r="L21" s="184">
        <f>'1.1รวมยาทั้งหมด(1+2+3+4)'!L21+'2.รวมวชย ทุกประเภท'!L21</f>
        <v>0</v>
      </c>
      <c r="M21" s="184">
        <f>'1.1รวมยาทั้งหมด(1+2+3+4)'!M21+'2.รวมวชย ทุกประเภท'!M21</f>
        <v>0</v>
      </c>
      <c r="N21" s="184">
        <f>'1.1รวมยาทั้งหมด(1+2+3+4)'!N21+'2.รวมวชย ทุกประเภท'!N21</f>
        <v>0</v>
      </c>
      <c r="O21" s="225">
        <f t="shared" si="1"/>
        <v>136823.78</v>
      </c>
      <c r="P21" s="319">
        <f t="shared" si="0"/>
        <v>4.4433294174421857E-2</v>
      </c>
    </row>
    <row r="22" spans="1:16" ht="17.25" customHeight="1" x14ac:dyDescent="0.45">
      <c r="A22" s="25">
        <v>18</v>
      </c>
      <c r="B22" s="26" t="s">
        <v>15</v>
      </c>
      <c r="C22" s="184">
        <f>'1.1รวมยาทั้งหมด(1+2+3+4)'!C22+'2.รวมวชย ทุกประเภท'!C22</f>
        <v>5520.1799999999994</v>
      </c>
      <c r="D22" s="184">
        <f>'1.1รวมยาทั้งหมด(1+2+3+4)'!D22+'2.รวมวชย ทุกประเภท'!D22</f>
        <v>3503.1</v>
      </c>
      <c r="E22" s="184">
        <f>'1.1รวมยาทั้งหมด(1+2+3+4)'!E22+'2.รวมวชย ทุกประเภท'!E22</f>
        <v>11983.75</v>
      </c>
      <c r="F22" s="184">
        <f>'1.1รวมยาทั้งหมด(1+2+3+4)'!F22+'2.รวมวชย ทุกประเภท'!F22</f>
        <v>8402.0300000000007</v>
      </c>
      <c r="G22" s="184">
        <f>'1.1รวมยาทั้งหมด(1+2+3+4)'!G22+'2.รวมวชย ทุกประเภท'!G22</f>
        <v>7571.19</v>
      </c>
      <c r="H22" s="184">
        <f>'1.1รวมยาทั้งหมด(1+2+3+4)'!H22+'2.รวมวชย ทุกประเภท'!H22</f>
        <v>4722.6499999999996</v>
      </c>
      <c r="I22" s="184">
        <f>'1.1รวมยาทั้งหมด(1+2+3+4)'!I22+'2.รวมวชย ทุกประเภท'!I22</f>
        <v>9460</v>
      </c>
      <c r="J22" s="184">
        <f>'1.1รวมยาทั้งหมด(1+2+3+4)'!J22+'2.รวมวชย ทุกประเภท'!J22</f>
        <v>8752.09</v>
      </c>
      <c r="K22" s="184">
        <f>'1.1รวมยาทั้งหมด(1+2+3+4)'!K22+'2.รวมวชย ทุกประเภท'!K22</f>
        <v>0</v>
      </c>
      <c r="L22" s="184">
        <f>'1.1รวมยาทั้งหมด(1+2+3+4)'!L22+'2.รวมวชย ทุกประเภท'!L22</f>
        <v>0</v>
      </c>
      <c r="M22" s="184">
        <f>'1.1รวมยาทั้งหมด(1+2+3+4)'!M22+'2.รวมวชย ทุกประเภท'!M22</f>
        <v>0</v>
      </c>
      <c r="N22" s="184">
        <f>'1.1รวมยาทั้งหมด(1+2+3+4)'!N22+'2.รวมวชย ทุกประเภท'!N22</f>
        <v>0</v>
      </c>
      <c r="O22" s="225">
        <f t="shared" si="1"/>
        <v>59914.990000000005</v>
      </c>
      <c r="P22" s="319">
        <f t="shared" si="0"/>
        <v>1.9457292994883961E-2</v>
      </c>
    </row>
    <row r="23" spans="1:16" s="171" customFormat="1" ht="17.25" customHeight="1" x14ac:dyDescent="0.45">
      <c r="A23" s="45">
        <v>5.4166666666666669E-2</v>
      </c>
      <c r="B23" s="154" t="s">
        <v>22</v>
      </c>
      <c r="C23" s="189">
        <f>SUM(C5:C22)</f>
        <v>321287.77999999997</v>
      </c>
      <c r="D23" s="189">
        <f t="shared" ref="D23:N23" si="2">SUM(D5:D22)</f>
        <v>397104.76</v>
      </c>
      <c r="E23" s="189">
        <f t="shared" si="2"/>
        <v>322466.82</v>
      </c>
      <c r="F23" s="189">
        <f t="shared" si="2"/>
        <v>457012.75000000006</v>
      </c>
      <c r="G23" s="189">
        <f t="shared" si="2"/>
        <v>376737.46</v>
      </c>
      <c r="H23" s="189">
        <f t="shared" si="2"/>
        <v>361141.24000000005</v>
      </c>
      <c r="I23" s="189">
        <f t="shared" si="2"/>
        <v>395443.09</v>
      </c>
      <c r="J23" s="189">
        <f t="shared" si="2"/>
        <v>448113.69</v>
      </c>
      <c r="K23" s="189">
        <f t="shared" si="2"/>
        <v>0</v>
      </c>
      <c r="L23" s="189">
        <f t="shared" si="2"/>
        <v>0</v>
      </c>
      <c r="M23" s="189">
        <f t="shared" si="2"/>
        <v>0</v>
      </c>
      <c r="N23" s="189">
        <f t="shared" si="2"/>
        <v>0</v>
      </c>
      <c r="O23" s="307">
        <f t="shared" si="1"/>
        <v>3079307.59</v>
      </c>
      <c r="P23" s="320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225">
        <f t="shared" si="1"/>
        <v>0</v>
      </c>
      <c r="P24" s="319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225">
        <f t="shared" si="1"/>
        <v>0</v>
      </c>
      <c r="P25" s="319">
        <f t="shared" si="0"/>
        <v>0</v>
      </c>
    </row>
    <row r="26" spans="1:16" s="171" customFormat="1" ht="17.25" customHeight="1" x14ac:dyDescent="0.45">
      <c r="A26" s="49" t="s">
        <v>54</v>
      </c>
      <c r="B26" s="152" t="s">
        <v>23</v>
      </c>
      <c r="C26" s="192">
        <f>C24+C25</f>
        <v>0</v>
      </c>
      <c r="D26" s="192">
        <f t="shared" ref="D26:N26" si="3">D24+D25</f>
        <v>0</v>
      </c>
      <c r="E26" s="192">
        <f t="shared" si="3"/>
        <v>0</v>
      </c>
      <c r="F26" s="192">
        <f t="shared" si="3"/>
        <v>0</v>
      </c>
      <c r="G26" s="192">
        <f t="shared" si="3"/>
        <v>0</v>
      </c>
      <c r="H26" s="192">
        <f t="shared" si="3"/>
        <v>0</v>
      </c>
      <c r="I26" s="192">
        <f t="shared" si="3"/>
        <v>0</v>
      </c>
      <c r="J26" s="192">
        <f t="shared" si="3"/>
        <v>0</v>
      </c>
      <c r="K26" s="192">
        <f t="shared" si="3"/>
        <v>0</v>
      </c>
      <c r="L26" s="192">
        <f t="shared" si="3"/>
        <v>0</v>
      </c>
      <c r="M26" s="192">
        <f t="shared" si="3"/>
        <v>0</v>
      </c>
      <c r="N26" s="192">
        <f t="shared" si="3"/>
        <v>0</v>
      </c>
      <c r="O26" s="309">
        <f t="shared" si="1"/>
        <v>0</v>
      </c>
      <c r="P26" s="324">
        <f t="shared" si="0"/>
        <v>0</v>
      </c>
    </row>
    <row r="27" spans="1:16" s="207" customFormat="1" ht="17.25" customHeight="1" x14ac:dyDescent="0.45">
      <c r="A27" s="203" t="s">
        <v>67</v>
      </c>
      <c r="B27" s="208" t="s">
        <v>25</v>
      </c>
      <c r="C27" s="206">
        <f>C23+C26</f>
        <v>321287.77999999997</v>
      </c>
      <c r="D27" s="206">
        <f t="shared" ref="D27:N27" si="4">D23+D26</f>
        <v>397104.76</v>
      </c>
      <c r="E27" s="206">
        <f t="shared" si="4"/>
        <v>322466.82</v>
      </c>
      <c r="F27" s="206">
        <f t="shared" si="4"/>
        <v>457012.75000000006</v>
      </c>
      <c r="G27" s="206">
        <f t="shared" si="4"/>
        <v>376737.46</v>
      </c>
      <c r="H27" s="206">
        <f t="shared" si="4"/>
        <v>361141.24000000005</v>
      </c>
      <c r="I27" s="206">
        <f t="shared" si="4"/>
        <v>395443.09</v>
      </c>
      <c r="J27" s="206">
        <f t="shared" si="4"/>
        <v>448113.69</v>
      </c>
      <c r="K27" s="206">
        <f t="shared" si="4"/>
        <v>0</v>
      </c>
      <c r="L27" s="206">
        <f t="shared" si="4"/>
        <v>0</v>
      </c>
      <c r="M27" s="206">
        <f t="shared" si="4"/>
        <v>0</v>
      </c>
      <c r="N27" s="206">
        <f t="shared" si="4"/>
        <v>0</v>
      </c>
      <c r="O27" s="206">
        <f t="shared" si="1"/>
        <v>3079307.59</v>
      </c>
      <c r="P27" s="325">
        <f t="shared" si="0"/>
        <v>1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45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45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25%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Windows User</cp:lastModifiedBy>
  <cp:lastPrinted>2019-03-12T07:12:18Z</cp:lastPrinted>
  <dcterms:created xsi:type="dcterms:W3CDTF">2017-10-13T14:25:05Z</dcterms:created>
  <dcterms:modified xsi:type="dcterms:W3CDTF">2019-05-27T07:12:27Z</dcterms:modified>
</cp:coreProperties>
</file>