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8195" windowHeight="7245" tabRatio="970" activeTab="5"/>
  </bookViews>
  <sheets>
    <sheet name="สรุปยอด" sheetId="1" r:id="rId1"/>
    <sheet name="1.ยาทั่วไป" sheetId="2" r:id="rId2"/>
    <sheet name="2.ยาแพทย์ PCC" sheetId="3" r:id="rId3"/>
    <sheet name="3.ยาเรื้อรัง 25%" sheetId="4" r:id="rId4"/>
    <sheet name="4.ยาเรื้อรังฟรี" sheetId="5" r:id="rId5"/>
    <sheet name="5.vaccine" sheetId="6" r:id="rId6"/>
    <sheet name="1.1รวมยาทั้งหมด(1+2+3+4)" sheetId="13" r:id="rId7"/>
    <sheet name="1.2 ยาทั้งหมดรวมvaccin" sheetId="14" r:id="rId8"/>
    <sheet name="1.3 ยา+ไม่รวมvaccin+วชยทั้งหมด" sheetId="16" r:id="rId9"/>
    <sheet name="2.รวมวชย ทุกประเภท" sheetId="17" r:id="rId10"/>
    <sheet name="2.1วสด.การแพทย์" sheetId="7" r:id="rId11"/>
    <sheet name="2.2วสด.สนง" sheetId="8" r:id="rId12"/>
    <sheet name="2.3วสด.งานบ้าน" sheetId="11" r:id="rId13"/>
    <sheet name="2.4วสด. LAB" sheetId="9" r:id="rId14"/>
    <sheet name="2.5วสด. dent" sheetId="10" r:id="rId15"/>
    <sheet name="2.6วสด.เภสัช" sheetId="12" r:id="rId16"/>
  </sheets>
  <externalReferences>
    <externalReference r:id="rId17"/>
  </externalReferences>
  <calcPr calcId="144525"/>
</workbook>
</file>

<file path=xl/calcChain.xml><?xml version="1.0" encoding="utf-8"?>
<calcChain xmlns="http://schemas.openxmlformats.org/spreadsheetml/2006/main">
  <c r="N24" i="6" l="1"/>
  <c r="N17" i="6"/>
  <c r="N15" i="6"/>
  <c r="N12" i="6"/>
  <c r="N11" i="6"/>
  <c r="N7" i="6"/>
  <c r="N6" i="6"/>
  <c r="N5" i="6"/>
  <c r="N24" i="12"/>
  <c r="N20" i="7"/>
  <c r="N19" i="11"/>
  <c r="N19" i="7"/>
  <c r="N17" i="11"/>
  <c r="N17" i="7"/>
  <c r="N16" i="7"/>
  <c r="N15" i="7"/>
  <c r="N14" i="7"/>
  <c r="N13" i="7"/>
  <c r="N11" i="11"/>
  <c r="N12" i="7"/>
  <c r="N10" i="9"/>
  <c r="N10" i="11"/>
  <c r="N11" i="7"/>
  <c r="N9" i="7"/>
  <c r="N8" i="7"/>
  <c r="N7" i="7"/>
  <c r="N6" i="7"/>
  <c r="N5" i="7"/>
  <c r="N24" i="4"/>
  <c r="N17" i="4"/>
  <c r="N15" i="4"/>
  <c r="N14" i="4"/>
  <c r="N13" i="4"/>
  <c r="N12" i="4"/>
  <c r="N11" i="4"/>
  <c r="N8" i="4"/>
  <c r="N7" i="4"/>
  <c r="N5" i="4"/>
  <c r="N24" i="2"/>
  <c r="N21" i="2"/>
  <c r="N16" i="2"/>
  <c r="N14" i="2"/>
  <c r="N13" i="2"/>
  <c r="N12" i="2"/>
  <c r="N11" i="2"/>
  <c r="N9" i="2"/>
  <c r="N8" i="2"/>
  <c r="N7" i="2"/>
  <c r="N6" i="2"/>
  <c r="N5" i="2"/>
  <c r="M5" i="2" l="1"/>
  <c r="M24" i="7" l="1"/>
  <c r="M22" i="9"/>
  <c r="M22" i="11"/>
  <c r="M22" i="7"/>
  <c r="M21" i="11"/>
  <c r="M21" i="7"/>
  <c r="M20" i="7"/>
  <c r="M19" i="7"/>
  <c r="M18" i="7"/>
  <c r="M17" i="9"/>
  <c r="M17" i="7"/>
  <c r="M16" i="7"/>
  <c r="M15" i="7"/>
  <c r="M14" i="7"/>
  <c r="M13" i="7"/>
  <c r="M10" i="7"/>
  <c r="M9" i="7"/>
  <c r="M9" i="11"/>
  <c r="M8" i="11"/>
  <c r="M8" i="8"/>
  <c r="M8" i="7"/>
  <c r="M6" i="7"/>
  <c r="M5" i="11"/>
  <c r="M5" i="7"/>
  <c r="M24" i="4"/>
  <c r="M21" i="4"/>
  <c r="M20" i="4"/>
  <c r="M18" i="4"/>
  <c r="M17" i="4"/>
  <c r="M16" i="4"/>
  <c r="M15" i="4"/>
  <c r="M14" i="4"/>
  <c r="M23" i="3"/>
  <c r="M9" i="4"/>
  <c r="M8" i="4"/>
  <c r="M7" i="4"/>
  <c r="M6" i="3"/>
  <c r="M6" i="4"/>
  <c r="M5" i="4"/>
  <c r="M24" i="2"/>
  <c r="M22" i="2"/>
  <c r="M21" i="2"/>
  <c r="M20" i="2"/>
  <c r="M18" i="2"/>
  <c r="M17" i="2"/>
  <c r="M16" i="2"/>
  <c r="M15" i="2"/>
  <c r="M14" i="2"/>
  <c r="M13" i="2"/>
  <c r="M12" i="2"/>
  <c r="M10" i="2"/>
  <c r="M9" i="2"/>
  <c r="M8" i="2"/>
  <c r="M7" i="2"/>
  <c r="M6" i="2"/>
  <c r="L12" i="7" l="1"/>
  <c r="L9" i="7"/>
  <c r="L6" i="7"/>
  <c r="L9" i="4" l="1"/>
  <c r="L24" i="7" l="1"/>
  <c r="L22" i="11"/>
  <c r="L22" i="7"/>
  <c r="L21" i="7"/>
  <c r="L20" i="7"/>
  <c r="L19" i="7"/>
  <c r="L18" i="11"/>
  <c r="L18" i="7"/>
  <c r="L17" i="7"/>
  <c r="L16" i="11"/>
  <c r="L16" i="7"/>
  <c r="L15" i="7"/>
  <c r="L14" i="7"/>
  <c r="L13" i="7"/>
  <c r="L12" i="2"/>
  <c r="L9" i="2"/>
  <c r="L7" i="11"/>
  <c r="L7" i="7"/>
  <c r="L6" i="8"/>
  <c r="L5" i="11"/>
  <c r="L21" i="4"/>
  <c r="L20" i="4"/>
  <c r="L19" i="4"/>
  <c r="L18" i="4"/>
  <c r="L15" i="4"/>
  <c r="L14" i="4"/>
  <c r="L13" i="4"/>
  <c r="L12" i="4"/>
  <c r="L11" i="4"/>
  <c r="L10" i="4"/>
  <c r="L8" i="4"/>
  <c r="L7" i="4"/>
  <c r="L6" i="2"/>
  <c r="L6" i="4"/>
  <c r="L5" i="4"/>
  <c r="L24" i="2"/>
  <c r="L22" i="2"/>
  <c r="L21" i="2"/>
  <c r="L20" i="2"/>
  <c r="L19" i="2"/>
  <c r="L17" i="2"/>
  <c r="L16" i="2"/>
  <c r="L15" i="2"/>
  <c r="L14" i="2"/>
  <c r="L13" i="2"/>
  <c r="L11" i="2"/>
  <c r="L10" i="2"/>
  <c r="L8" i="2"/>
  <c r="L7" i="2"/>
  <c r="L5" i="2"/>
  <c r="K8" i="6" l="1"/>
  <c r="K24" i="2"/>
  <c r="K24" i="7"/>
  <c r="N23" i="11"/>
  <c r="K21" i="7"/>
  <c r="K20" i="7"/>
  <c r="K19" i="11"/>
  <c r="K19" i="7"/>
  <c r="K18" i="7"/>
  <c r="K17" i="7"/>
  <c r="K16" i="7"/>
  <c r="K15" i="7"/>
  <c r="K15" i="11"/>
  <c r="K12" i="9"/>
  <c r="K12" i="7"/>
  <c r="K11" i="7"/>
  <c r="K9" i="11"/>
  <c r="K9" i="7"/>
  <c r="K8" i="7"/>
  <c r="K7" i="7"/>
  <c r="K6" i="7"/>
  <c r="K5" i="11"/>
  <c r="K5" i="7"/>
  <c r="K21" i="4"/>
  <c r="K19" i="4"/>
  <c r="K17" i="4"/>
  <c r="K16" i="4"/>
  <c r="K15" i="4"/>
  <c r="K14" i="4"/>
  <c r="K12" i="4"/>
  <c r="K11" i="4"/>
  <c r="K9" i="4"/>
  <c r="K8" i="4"/>
  <c r="K7" i="4"/>
  <c r="K6" i="4"/>
  <c r="K5" i="2"/>
  <c r="K5" i="4"/>
  <c r="K21" i="2"/>
  <c r="K20" i="2"/>
  <c r="K19" i="2"/>
  <c r="K18" i="2"/>
  <c r="K17" i="2"/>
  <c r="K16" i="2"/>
  <c r="K15" i="2"/>
  <c r="K13" i="2"/>
  <c r="K12" i="2"/>
  <c r="K11" i="2"/>
  <c r="K7" i="2"/>
  <c r="K6" i="2"/>
  <c r="C8" i="9" l="1"/>
  <c r="F27" i="8"/>
  <c r="J21" i="7" l="1"/>
  <c r="J20" i="7"/>
  <c r="J19" i="11"/>
  <c r="J19" i="7"/>
  <c r="J18" i="7"/>
  <c r="J17" i="7"/>
  <c r="J16" i="7"/>
  <c r="J15" i="7"/>
  <c r="J14" i="7"/>
  <c r="J13" i="7"/>
  <c r="J12" i="7"/>
  <c r="J12" i="2"/>
  <c r="J10" i="7"/>
  <c r="J9" i="7"/>
  <c r="J8" i="10"/>
  <c r="J8" i="7"/>
  <c r="J7" i="7"/>
  <c r="J6" i="9"/>
  <c r="J6" i="7"/>
  <c r="J5" i="11"/>
  <c r="J5" i="7"/>
  <c r="J19" i="4"/>
  <c r="J17" i="4"/>
  <c r="J15" i="4"/>
  <c r="J14" i="4"/>
  <c r="J12" i="4"/>
  <c r="J11" i="4"/>
  <c r="J10" i="4"/>
  <c r="J9" i="4"/>
  <c r="J8" i="4"/>
  <c r="J6" i="4"/>
  <c r="J5" i="4"/>
  <c r="J5" i="2"/>
  <c r="J14" i="2"/>
  <c r="J24" i="2"/>
  <c r="J21" i="2"/>
  <c r="J19" i="2"/>
  <c r="J16" i="2"/>
  <c r="J15" i="2"/>
  <c r="J18" i="2"/>
  <c r="J17" i="2"/>
  <c r="J13" i="2"/>
  <c r="J11" i="2"/>
  <c r="J10" i="2"/>
  <c r="J9" i="2"/>
  <c r="J8" i="2"/>
  <c r="J7" i="2"/>
  <c r="J6" i="2"/>
  <c r="E27" i="7" l="1"/>
  <c r="E15" i="7"/>
  <c r="E21" i="7"/>
  <c r="I23" i="3" l="1"/>
  <c r="I6" i="3"/>
  <c r="H23" i="3"/>
  <c r="G23" i="3"/>
  <c r="H8" i="3"/>
  <c r="H7" i="3"/>
  <c r="H6" i="3"/>
  <c r="H5" i="3"/>
  <c r="G5" i="3"/>
  <c r="G7" i="3"/>
  <c r="F23" i="3"/>
  <c r="F6" i="3"/>
  <c r="E23" i="3"/>
  <c r="I8" i="11" l="1"/>
  <c r="I7" i="11"/>
  <c r="I7" i="2"/>
  <c r="I12" i="2"/>
  <c r="I24" i="7" l="1"/>
  <c r="I22" i="11"/>
  <c r="I22" i="7"/>
  <c r="I21" i="7"/>
  <c r="I19" i="11"/>
  <c r="I20" i="7"/>
  <c r="I19" i="7"/>
  <c r="I19" i="8"/>
  <c r="I17" i="7"/>
  <c r="I16" i="7"/>
  <c r="I15" i="7"/>
  <c r="I13" i="7"/>
  <c r="I13" i="11"/>
  <c r="I10" i="9"/>
  <c r="I12" i="11"/>
  <c r="I12" i="7"/>
  <c r="I11" i="11"/>
  <c r="I11" i="7"/>
  <c r="I9" i="7"/>
  <c r="I7" i="7"/>
  <c r="I6" i="11"/>
  <c r="I6" i="7"/>
  <c r="I21" i="4"/>
  <c r="I19" i="4"/>
  <c r="I17" i="4"/>
  <c r="I16" i="4"/>
  <c r="I15" i="4"/>
  <c r="I13" i="4"/>
  <c r="I12" i="4"/>
  <c r="I9" i="4"/>
  <c r="I8" i="4"/>
  <c r="I6" i="4"/>
  <c r="I24" i="2"/>
  <c r="I22" i="2"/>
  <c r="I21" i="2"/>
  <c r="I20" i="2"/>
  <c r="I19" i="2"/>
  <c r="I18" i="2"/>
  <c r="I17" i="2"/>
  <c r="I16" i="2"/>
  <c r="I15" i="2"/>
  <c r="I11" i="2"/>
  <c r="I10" i="2"/>
  <c r="I9" i="2"/>
  <c r="I8" i="2"/>
  <c r="I6" i="2"/>
  <c r="D24" i="17" l="1"/>
  <c r="E24" i="17"/>
  <c r="F24" i="17"/>
  <c r="G24" i="17"/>
  <c r="H24" i="17"/>
  <c r="I24" i="17"/>
  <c r="J24" i="17"/>
  <c r="K24" i="17"/>
  <c r="L24" i="17"/>
  <c r="M24" i="17"/>
  <c r="N24" i="17"/>
  <c r="D25" i="17"/>
  <c r="E25" i="17"/>
  <c r="F25" i="17"/>
  <c r="G25" i="17"/>
  <c r="H25" i="17"/>
  <c r="I25" i="17"/>
  <c r="J25" i="17"/>
  <c r="K25" i="17"/>
  <c r="L25" i="17"/>
  <c r="M25" i="17"/>
  <c r="N25" i="17"/>
  <c r="C25" i="17"/>
  <c r="I6" i="17"/>
  <c r="J6" i="17"/>
  <c r="K6" i="17"/>
  <c r="L6" i="17"/>
  <c r="M6" i="17"/>
  <c r="N6" i="17"/>
  <c r="C7" i="17"/>
  <c r="I7" i="17"/>
  <c r="J7" i="17"/>
  <c r="K7" i="17"/>
  <c r="L7" i="17"/>
  <c r="M7" i="17"/>
  <c r="N7" i="17"/>
  <c r="H8" i="17"/>
  <c r="I8" i="17"/>
  <c r="J8" i="17"/>
  <c r="K8" i="17"/>
  <c r="L8" i="17"/>
  <c r="M8" i="17"/>
  <c r="N8" i="17"/>
  <c r="G9" i="17"/>
  <c r="I9" i="17"/>
  <c r="J9" i="17"/>
  <c r="K9" i="17"/>
  <c r="L9" i="17"/>
  <c r="M9" i="17"/>
  <c r="N9" i="17"/>
  <c r="C10" i="17"/>
  <c r="E10" i="17"/>
  <c r="I10" i="17"/>
  <c r="J10" i="17"/>
  <c r="K10" i="17"/>
  <c r="L10" i="17"/>
  <c r="M10" i="17"/>
  <c r="N10" i="17"/>
  <c r="E11" i="17"/>
  <c r="I11" i="17"/>
  <c r="J11" i="17"/>
  <c r="K11" i="17"/>
  <c r="L11" i="17"/>
  <c r="M11" i="17"/>
  <c r="N11" i="17"/>
  <c r="I12" i="17"/>
  <c r="J12" i="17"/>
  <c r="K12" i="17"/>
  <c r="L12" i="17"/>
  <c r="M12" i="17"/>
  <c r="N12" i="17"/>
  <c r="I13" i="17"/>
  <c r="J13" i="17"/>
  <c r="K13" i="17"/>
  <c r="L13" i="17"/>
  <c r="M13" i="17"/>
  <c r="N13" i="17"/>
  <c r="C14" i="17"/>
  <c r="E14" i="17"/>
  <c r="F14" i="17"/>
  <c r="I14" i="17"/>
  <c r="J14" i="17"/>
  <c r="K14" i="17"/>
  <c r="L14" i="17"/>
  <c r="M14" i="17"/>
  <c r="N14" i="17"/>
  <c r="I15" i="17"/>
  <c r="J15" i="17"/>
  <c r="K15" i="17"/>
  <c r="L15" i="17"/>
  <c r="M15" i="17"/>
  <c r="N15" i="17"/>
  <c r="H16" i="17"/>
  <c r="I16" i="17"/>
  <c r="J16" i="17"/>
  <c r="K16" i="17"/>
  <c r="L16" i="17"/>
  <c r="M16" i="17"/>
  <c r="N16" i="17"/>
  <c r="C17" i="17"/>
  <c r="H17" i="17"/>
  <c r="I17" i="17"/>
  <c r="J17" i="17"/>
  <c r="K17" i="17"/>
  <c r="L17" i="17"/>
  <c r="M17" i="17"/>
  <c r="N17" i="17"/>
  <c r="C18" i="17"/>
  <c r="G18" i="17"/>
  <c r="I18" i="17"/>
  <c r="J18" i="17"/>
  <c r="K18" i="17"/>
  <c r="L18" i="17"/>
  <c r="M18" i="17"/>
  <c r="N18" i="17"/>
  <c r="I19" i="17"/>
  <c r="J19" i="17"/>
  <c r="K19" i="17"/>
  <c r="L19" i="17"/>
  <c r="M19" i="17"/>
  <c r="N19" i="17"/>
  <c r="C20" i="17"/>
  <c r="D20" i="17"/>
  <c r="E20" i="17"/>
  <c r="F20" i="17"/>
  <c r="I20" i="17"/>
  <c r="J20" i="17"/>
  <c r="K20" i="17"/>
  <c r="L20" i="17"/>
  <c r="M20" i="17"/>
  <c r="N20" i="17"/>
  <c r="D21" i="17"/>
  <c r="F21" i="17"/>
  <c r="I21" i="17"/>
  <c r="J21" i="17"/>
  <c r="K21" i="17"/>
  <c r="L21" i="17"/>
  <c r="M21" i="17"/>
  <c r="N21" i="17"/>
  <c r="D22" i="17"/>
  <c r="H22" i="17"/>
  <c r="I22" i="17"/>
  <c r="J22" i="17"/>
  <c r="K22" i="17"/>
  <c r="L22" i="17"/>
  <c r="M22" i="17"/>
  <c r="N22" i="17"/>
  <c r="H5" i="17"/>
  <c r="I5" i="17"/>
  <c r="J5" i="17"/>
  <c r="K5" i="17"/>
  <c r="L5" i="17"/>
  <c r="M5" i="17"/>
  <c r="N5" i="17"/>
  <c r="D24" i="14"/>
  <c r="E24" i="14"/>
  <c r="F24" i="14"/>
  <c r="G24" i="14"/>
  <c r="H24" i="14"/>
  <c r="H25" i="14"/>
  <c r="I25" i="14"/>
  <c r="C24" i="14"/>
  <c r="H25" i="13"/>
  <c r="I25" i="13"/>
  <c r="J25" i="13"/>
  <c r="J26" i="13" s="1"/>
  <c r="K25" i="13"/>
  <c r="K25" i="14" s="1"/>
  <c r="L25" i="13"/>
  <c r="L25" i="14" s="1"/>
  <c r="M25" i="13"/>
  <c r="M25" i="14" s="1"/>
  <c r="N25" i="13"/>
  <c r="N26" i="13" s="1"/>
  <c r="I24" i="13"/>
  <c r="I26" i="13" s="1"/>
  <c r="J24" i="13"/>
  <c r="J24" i="14" s="1"/>
  <c r="K24" i="13"/>
  <c r="K24" i="14" s="1"/>
  <c r="L24" i="13"/>
  <c r="L24" i="14" s="1"/>
  <c r="M24" i="13"/>
  <c r="N24" i="13"/>
  <c r="N24" i="14" s="1"/>
  <c r="L26" i="13"/>
  <c r="H6" i="13"/>
  <c r="I6" i="13"/>
  <c r="J6" i="13"/>
  <c r="K6" i="13"/>
  <c r="L6" i="13"/>
  <c r="M6" i="13"/>
  <c r="N6" i="13"/>
  <c r="H7" i="13"/>
  <c r="I7" i="13"/>
  <c r="J7" i="13"/>
  <c r="K7" i="13"/>
  <c r="L7" i="13"/>
  <c r="M7" i="13"/>
  <c r="N7" i="13"/>
  <c r="H8" i="13"/>
  <c r="I8" i="13"/>
  <c r="J8" i="13"/>
  <c r="K8" i="13"/>
  <c r="L8" i="13"/>
  <c r="M8" i="13"/>
  <c r="N8" i="13"/>
  <c r="H9" i="13"/>
  <c r="I9" i="13"/>
  <c r="J9" i="13"/>
  <c r="K9" i="13"/>
  <c r="L9" i="13"/>
  <c r="M9" i="13"/>
  <c r="N9" i="13"/>
  <c r="H10" i="13"/>
  <c r="I10" i="13"/>
  <c r="J10" i="13"/>
  <c r="K10" i="13"/>
  <c r="L10" i="13"/>
  <c r="M10" i="13"/>
  <c r="N10" i="13"/>
  <c r="H11" i="13"/>
  <c r="I11" i="13"/>
  <c r="J11" i="13"/>
  <c r="K11" i="13"/>
  <c r="L11" i="13"/>
  <c r="M11" i="13"/>
  <c r="N11" i="13"/>
  <c r="H12" i="13"/>
  <c r="I12" i="13"/>
  <c r="J12" i="13"/>
  <c r="K12" i="13"/>
  <c r="L12" i="13"/>
  <c r="M12" i="13"/>
  <c r="N12" i="13"/>
  <c r="H13" i="13"/>
  <c r="I13" i="13"/>
  <c r="J13" i="13"/>
  <c r="K13" i="13"/>
  <c r="L13" i="13"/>
  <c r="M13" i="13"/>
  <c r="N13" i="13"/>
  <c r="H14" i="13"/>
  <c r="I14" i="13"/>
  <c r="J14" i="13"/>
  <c r="K14" i="13"/>
  <c r="L14" i="13"/>
  <c r="M14" i="13"/>
  <c r="N14" i="13"/>
  <c r="H15" i="13"/>
  <c r="I15" i="13"/>
  <c r="J15" i="13"/>
  <c r="K15" i="13"/>
  <c r="L15" i="13"/>
  <c r="M15" i="13"/>
  <c r="N15" i="13"/>
  <c r="H16" i="13"/>
  <c r="I16" i="13"/>
  <c r="J16" i="13"/>
  <c r="K16" i="13"/>
  <c r="L16" i="13"/>
  <c r="M16" i="13"/>
  <c r="N16" i="13"/>
  <c r="H17" i="13"/>
  <c r="I17" i="13"/>
  <c r="J17" i="13"/>
  <c r="K17" i="13"/>
  <c r="L17" i="13"/>
  <c r="M17" i="13"/>
  <c r="N17" i="13"/>
  <c r="H18" i="13"/>
  <c r="I18" i="13"/>
  <c r="J18" i="13"/>
  <c r="K18" i="13"/>
  <c r="L18" i="13"/>
  <c r="M18" i="13"/>
  <c r="N18" i="13"/>
  <c r="H19" i="13"/>
  <c r="I19" i="13"/>
  <c r="J19" i="13"/>
  <c r="K19" i="13"/>
  <c r="L19" i="13"/>
  <c r="M19" i="13"/>
  <c r="N19" i="13"/>
  <c r="H20" i="13"/>
  <c r="I20" i="13"/>
  <c r="J20" i="13"/>
  <c r="K20" i="13"/>
  <c r="L20" i="13"/>
  <c r="M20" i="13"/>
  <c r="N20" i="13"/>
  <c r="H21" i="13"/>
  <c r="I21" i="13"/>
  <c r="J21" i="13"/>
  <c r="K21" i="13"/>
  <c r="L21" i="13"/>
  <c r="M21" i="13"/>
  <c r="N21" i="13"/>
  <c r="H22" i="13"/>
  <c r="I22" i="13"/>
  <c r="J22" i="13"/>
  <c r="K22" i="13"/>
  <c r="L22" i="13"/>
  <c r="M22" i="13"/>
  <c r="N22" i="13"/>
  <c r="I5" i="13"/>
  <c r="J5" i="13"/>
  <c r="K5" i="13"/>
  <c r="L5" i="13"/>
  <c r="M5" i="13"/>
  <c r="N5" i="13"/>
  <c r="N25" i="14" l="1"/>
  <c r="N23" i="13"/>
  <c r="N27" i="13" s="1"/>
  <c r="M26" i="13"/>
  <c r="M24" i="14"/>
  <c r="M23" i="13"/>
  <c r="M27" i="13" s="1"/>
  <c r="L23" i="13"/>
  <c r="L27" i="13" s="1"/>
  <c r="K26" i="13"/>
  <c r="K23" i="13"/>
  <c r="J25" i="14"/>
  <c r="J23" i="13"/>
  <c r="J27" i="13" s="1"/>
  <c r="I24" i="14"/>
  <c r="I23" i="13"/>
  <c r="I27" i="13" s="1"/>
  <c r="H12" i="2"/>
  <c r="K27" i="13" l="1"/>
  <c r="H22" i="2"/>
  <c r="H21" i="7"/>
  <c r="H21" i="17" s="1"/>
  <c r="H20" i="7"/>
  <c r="H20" i="17" s="1"/>
  <c r="H19" i="7"/>
  <c r="H19" i="17" s="1"/>
  <c r="H18" i="7"/>
  <c r="H18" i="17" s="1"/>
  <c r="H15" i="7"/>
  <c r="H15" i="17" s="1"/>
  <c r="H14" i="7"/>
  <c r="H14" i="17" s="1"/>
  <c r="H13" i="7"/>
  <c r="H13" i="17" s="1"/>
  <c r="H12" i="11"/>
  <c r="H12" i="7"/>
  <c r="H11" i="8"/>
  <c r="H11" i="17" s="1"/>
  <c r="H10" i="7"/>
  <c r="H10" i="17" s="1"/>
  <c r="H10" i="2"/>
  <c r="H9" i="11"/>
  <c r="H9" i="7"/>
  <c r="H9" i="17" s="1"/>
  <c r="H7" i="7"/>
  <c r="H7" i="17" s="1"/>
  <c r="H6" i="7"/>
  <c r="H6" i="17" s="1"/>
  <c r="H16" i="4"/>
  <c r="H15" i="4"/>
  <c r="H14" i="4"/>
  <c r="H13" i="2"/>
  <c r="H12" i="4"/>
  <c r="H11" i="2"/>
  <c r="C12" i="4"/>
  <c r="H11" i="4"/>
  <c r="H9" i="4"/>
  <c r="H8" i="4"/>
  <c r="H7" i="4"/>
  <c r="H6" i="4"/>
  <c r="H5" i="4"/>
  <c r="H25" i="2"/>
  <c r="H21" i="2"/>
  <c r="H20" i="2"/>
  <c r="H19" i="2"/>
  <c r="H16" i="2"/>
  <c r="H15" i="2"/>
  <c r="H14" i="2"/>
  <c r="H9" i="2"/>
  <c r="H8" i="2"/>
  <c r="H7" i="2"/>
  <c r="H6" i="2"/>
  <c r="H5" i="2"/>
  <c r="H12" i="17" l="1"/>
  <c r="O5" i="12"/>
  <c r="G8" i="7" l="1"/>
  <c r="G8" i="17" s="1"/>
  <c r="G22" i="6" l="1"/>
  <c r="G21" i="6"/>
  <c r="G19" i="6"/>
  <c r="G22" i="11"/>
  <c r="G22" i="7"/>
  <c r="G22" i="17" s="1"/>
  <c r="G21" i="11"/>
  <c r="G21" i="7"/>
  <c r="G21" i="17" s="1"/>
  <c r="G20" i="7"/>
  <c r="G20" i="17" s="1"/>
  <c r="G19" i="7"/>
  <c r="G19" i="17" s="1"/>
  <c r="G17" i="7"/>
  <c r="G17" i="17" s="1"/>
  <c r="G16" i="9"/>
  <c r="G15" i="11"/>
  <c r="G16" i="7"/>
  <c r="G16" i="17" s="1"/>
  <c r="G14" i="11"/>
  <c r="G15" i="7"/>
  <c r="G15" i="17" s="1"/>
  <c r="G13" i="9"/>
  <c r="G13" i="17" s="1"/>
  <c r="G14" i="7"/>
  <c r="G14" i="17" s="1"/>
  <c r="G14" i="2"/>
  <c r="G12" i="7"/>
  <c r="G12" i="17" s="1"/>
  <c r="G11" i="7"/>
  <c r="G11" i="17" s="1"/>
  <c r="G10" i="7"/>
  <c r="G10" i="17" s="1"/>
  <c r="G7" i="8"/>
  <c r="G7" i="7"/>
  <c r="G7" i="17" s="1"/>
  <c r="G6" i="8"/>
  <c r="G6" i="7"/>
  <c r="G6" i="17" s="1"/>
  <c r="G5" i="11"/>
  <c r="G5" i="7"/>
  <c r="G5" i="17" s="1"/>
  <c r="G21" i="4"/>
  <c r="G19" i="4"/>
  <c r="G17" i="4"/>
  <c r="G16" i="4"/>
  <c r="G12" i="4"/>
  <c r="G11" i="4"/>
  <c r="G9" i="4"/>
  <c r="G7" i="4"/>
  <c r="G6" i="4"/>
  <c r="G5" i="4"/>
  <c r="G22" i="2"/>
  <c r="G21" i="2"/>
  <c r="G17" i="2"/>
  <c r="G16" i="2"/>
  <c r="G15" i="2"/>
  <c r="G12" i="2"/>
  <c r="G11" i="2"/>
  <c r="G10" i="2"/>
  <c r="G9" i="2"/>
  <c r="G7" i="2"/>
  <c r="G6" i="2"/>
  <c r="G5" i="2"/>
  <c r="F17" i="4" l="1"/>
  <c r="D5" i="2"/>
  <c r="D24" i="2" l="1"/>
  <c r="F15" i="7" l="1"/>
  <c r="F15" i="17" s="1"/>
  <c r="F15" i="2"/>
  <c r="F5" i="7" l="1"/>
  <c r="F22" i="7" l="1"/>
  <c r="F22" i="17" s="1"/>
  <c r="F19" i="11"/>
  <c r="F19" i="7"/>
  <c r="F19" i="17" s="1"/>
  <c r="F18" i="7"/>
  <c r="F18" i="17" s="1"/>
  <c r="F17" i="9"/>
  <c r="F17" i="7"/>
  <c r="F16" i="11"/>
  <c r="F16" i="7"/>
  <c r="F13" i="7"/>
  <c r="F13" i="17" s="1"/>
  <c r="F12" i="7"/>
  <c r="F12" i="17" s="1"/>
  <c r="F11" i="11"/>
  <c r="F11" i="7"/>
  <c r="F10" i="7"/>
  <c r="F10" i="17" s="1"/>
  <c r="F9" i="11"/>
  <c r="F9" i="7"/>
  <c r="F9" i="17" s="1"/>
  <c r="F8" i="11"/>
  <c r="F8" i="8"/>
  <c r="F8" i="7"/>
  <c r="F7" i="7"/>
  <c r="F7" i="17" s="1"/>
  <c r="F6" i="7"/>
  <c r="F6" i="17" s="1"/>
  <c r="F5" i="11"/>
  <c r="F5" i="17" s="1"/>
  <c r="F5" i="9"/>
  <c r="F22" i="4"/>
  <c r="F21" i="4"/>
  <c r="F18" i="4"/>
  <c r="F16" i="4"/>
  <c r="F15" i="4"/>
  <c r="F14" i="4"/>
  <c r="F12" i="4"/>
  <c r="F11" i="4"/>
  <c r="F10" i="4"/>
  <c r="F9" i="4"/>
  <c r="F8" i="4"/>
  <c r="F7" i="4"/>
  <c r="F6" i="4"/>
  <c r="F5" i="4"/>
  <c r="F5" i="2"/>
  <c r="F21" i="2"/>
  <c r="F19" i="2"/>
  <c r="F17" i="2"/>
  <c r="F16" i="2"/>
  <c r="F13" i="2"/>
  <c r="F12" i="2"/>
  <c r="F11" i="2"/>
  <c r="F9" i="2"/>
  <c r="F8" i="2"/>
  <c r="F7" i="2"/>
  <c r="F6" i="2"/>
  <c r="F23" i="2" s="1"/>
  <c r="F8" i="17" l="1"/>
  <c r="F11" i="17"/>
  <c r="F16" i="17"/>
  <c r="F17" i="17"/>
  <c r="E22" i="7"/>
  <c r="E22" i="17" s="1"/>
  <c r="E21" i="17"/>
  <c r="E19" i="9"/>
  <c r="E19" i="11"/>
  <c r="E19" i="7"/>
  <c r="E19" i="17" s="1"/>
  <c r="E18" i="11"/>
  <c r="E18" i="7"/>
  <c r="E18" i="17" s="1"/>
  <c r="E17" i="7"/>
  <c r="E17" i="17" s="1"/>
  <c r="E16" i="7"/>
  <c r="E16" i="17" s="1"/>
  <c r="E15" i="11"/>
  <c r="E15" i="17"/>
  <c r="E13" i="7"/>
  <c r="E13" i="17" s="1"/>
  <c r="E12" i="11"/>
  <c r="E12" i="7"/>
  <c r="E9" i="7"/>
  <c r="E9" i="17" s="1"/>
  <c r="E8" i="11"/>
  <c r="E8" i="7"/>
  <c r="E8" i="17" s="1"/>
  <c r="E7" i="7"/>
  <c r="E7" i="17" s="1"/>
  <c r="E6" i="9"/>
  <c r="E6" i="7"/>
  <c r="E5" i="9"/>
  <c r="E5" i="7"/>
  <c r="E22" i="4"/>
  <c r="E21" i="4"/>
  <c r="E17" i="4"/>
  <c r="E16" i="4"/>
  <c r="E15" i="4"/>
  <c r="E11" i="4"/>
  <c r="E9" i="4"/>
  <c r="E8" i="4"/>
  <c r="E7" i="4"/>
  <c r="E6" i="4"/>
  <c r="E5" i="4"/>
  <c r="E24" i="2"/>
  <c r="E22" i="2"/>
  <c r="E21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P4" i="2" s="1"/>
  <c r="E5" i="17" l="1"/>
  <c r="E6" i="17"/>
  <c r="E12" i="17"/>
  <c r="D9" i="2"/>
  <c r="D19" i="9" l="1"/>
  <c r="D19" i="11"/>
  <c r="D19" i="7"/>
  <c r="D19" i="17" s="1"/>
  <c r="D18" i="7"/>
  <c r="D18" i="17" s="1"/>
  <c r="D18" i="2"/>
  <c r="D17" i="7"/>
  <c r="D17" i="17" s="1"/>
  <c r="D16" i="11"/>
  <c r="D16" i="7"/>
  <c r="D15" i="7"/>
  <c r="D15" i="17" s="1"/>
  <c r="D14" i="7"/>
  <c r="D14" i="17" s="1"/>
  <c r="D13" i="11"/>
  <c r="D13" i="7"/>
  <c r="D12" i="11"/>
  <c r="D12" i="7"/>
  <c r="D11" i="7"/>
  <c r="D11" i="17" s="1"/>
  <c r="D10" i="11"/>
  <c r="D10" i="17" s="1"/>
  <c r="D9" i="7"/>
  <c r="D9" i="11"/>
  <c r="D8" i="7"/>
  <c r="D8" i="17" s="1"/>
  <c r="D7" i="7"/>
  <c r="D7" i="17" s="1"/>
  <c r="D6" i="9"/>
  <c r="D6" i="11"/>
  <c r="D6" i="7"/>
  <c r="D6" i="17" s="1"/>
  <c r="D5" i="11"/>
  <c r="O5" i="11" s="1"/>
  <c r="D5" i="8"/>
  <c r="D5" i="7"/>
  <c r="D5" i="17" s="1"/>
  <c r="D22" i="4"/>
  <c r="D19" i="4"/>
  <c r="D19" i="2"/>
  <c r="D18" i="4"/>
  <c r="C15" i="4"/>
  <c r="D13" i="4"/>
  <c r="D11" i="2"/>
  <c r="D10" i="4"/>
  <c r="D10" i="2"/>
  <c r="D9" i="4"/>
  <c r="D8" i="4"/>
  <c r="D7" i="4"/>
  <c r="D6" i="4"/>
  <c r="D5" i="4"/>
  <c r="D21" i="2"/>
  <c r="D20" i="2"/>
  <c r="D17" i="2"/>
  <c r="D16" i="2"/>
  <c r="D15" i="2"/>
  <c r="D14" i="2"/>
  <c r="D13" i="2"/>
  <c r="D12" i="2"/>
  <c r="D8" i="2"/>
  <c r="D7" i="2"/>
  <c r="D6" i="2"/>
  <c r="D9" i="17" l="1"/>
  <c r="D12" i="17"/>
  <c r="D13" i="17"/>
  <c r="D16" i="17"/>
  <c r="N2" i="2"/>
  <c r="C22" i="9" l="1"/>
  <c r="C22" i="7"/>
  <c r="C22" i="17" s="1"/>
  <c r="C21" i="9"/>
  <c r="C21" i="11"/>
  <c r="C21" i="7"/>
  <c r="C19" i="7"/>
  <c r="C19" i="17" s="1"/>
  <c r="C16" i="7"/>
  <c r="C16" i="17" s="1"/>
  <c r="C15" i="7"/>
  <c r="C15" i="17" s="1"/>
  <c r="C13" i="8"/>
  <c r="C13" i="7"/>
  <c r="C13" i="17" s="1"/>
  <c r="C12" i="7"/>
  <c r="C12" i="17" s="1"/>
  <c r="C11" i="7"/>
  <c r="C11" i="17" s="1"/>
  <c r="C9" i="11"/>
  <c r="C9" i="7"/>
  <c r="C9" i="17" s="1"/>
  <c r="C8" i="7"/>
  <c r="C6" i="7"/>
  <c r="C6" i="17" s="1"/>
  <c r="C5" i="8"/>
  <c r="C5" i="7"/>
  <c r="C19" i="4"/>
  <c r="C16" i="4"/>
  <c r="C11" i="4"/>
  <c r="C8" i="4"/>
  <c r="C6" i="4"/>
  <c r="C5" i="4"/>
  <c r="C22" i="2"/>
  <c r="C21" i="2"/>
  <c r="C18" i="2"/>
  <c r="C16" i="2"/>
  <c r="C15" i="2"/>
  <c r="C10" i="2"/>
  <c r="C8" i="2"/>
  <c r="C6" i="2"/>
  <c r="C5" i="2"/>
  <c r="C8" i="17" l="1"/>
  <c r="C21" i="17"/>
  <c r="N2" i="17"/>
  <c r="N2" i="12" s="1"/>
  <c r="N2" i="16"/>
  <c r="N2" i="14"/>
  <c r="N2" i="13"/>
  <c r="N2" i="6"/>
  <c r="N2" i="4"/>
  <c r="N2" i="3"/>
  <c r="K1" i="7"/>
  <c r="K1" i="8" s="1"/>
  <c r="K1" i="11" s="1"/>
  <c r="K1" i="9" s="1"/>
  <c r="K1" i="17"/>
  <c r="K1" i="16"/>
  <c r="K1" i="14"/>
  <c r="K1" i="13"/>
  <c r="K1" i="6"/>
  <c r="K1" i="4"/>
  <c r="K1" i="3"/>
  <c r="K1" i="2"/>
  <c r="C24" i="17"/>
  <c r="C5" i="17"/>
  <c r="C2" i="2"/>
  <c r="N26" i="17"/>
  <c r="L26" i="17"/>
  <c r="K26" i="17"/>
  <c r="J26" i="17"/>
  <c r="H26" i="17"/>
  <c r="G26" i="17"/>
  <c r="F26" i="17"/>
  <c r="E26" i="17"/>
  <c r="D26" i="17"/>
  <c r="C2" i="17"/>
  <c r="D24" i="13"/>
  <c r="E24" i="13"/>
  <c r="F24" i="13"/>
  <c r="G24" i="13"/>
  <c r="H24" i="13"/>
  <c r="D25" i="13"/>
  <c r="D25" i="14" s="1"/>
  <c r="E25" i="13"/>
  <c r="E25" i="14" s="1"/>
  <c r="F25" i="13"/>
  <c r="F25" i="14" s="1"/>
  <c r="G25" i="13"/>
  <c r="G25" i="14" s="1"/>
  <c r="C25" i="13"/>
  <c r="C25" i="14" s="1"/>
  <c r="C24" i="13"/>
  <c r="D5" i="13"/>
  <c r="E5" i="13"/>
  <c r="F5" i="13"/>
  <c r="G5" i="13"/>
  <c r="G5" i="14" s="1"/>
  <c r="H5" i="13"/>
  <c r="H5" i="14" s="1"/>
  <c r="I5" i="14"/>
  <c r="J5" i="14"/>
  <c r="K5" i="14"/>
  <c r="L5" i="14"/>
  <c r="M5" i="14"/>
  <c r="N5" i="14"/>
  <c r="D6" i="13"/>
  <c r="E6" i="13"/>
  <c r="F6" i="13"/>
  <c r="G6" i="13"/>
  <c r="G6" i="14" s="1"/>
  <c r="H6" i="14"/>
  <c r="I6" i="14"/>
  <c r="J6" i="14"/>
  <c r="K6" i="14"/>
  <c r="L6" i="14"/>
  <c r="M6" i="14"/>
  <c r="N6" i="14"/>
  <c r="D7" i="13"/>
  <c r="E7" i="13"/>
  <c r="F7" i="13"/>
  <c r="G7" i="13"/>
  <c r="G7" i="14" s="1"/>
  <c r="H7" i="14"/>
  <c r="I7" i="14"/>
  <c r="J7" i="14"/>
  <c r="K7" i="14"/>
  <c r="L7" i="14"/>
  <c r="M7" i="14"/>
  <c r="N7" i="14"/>
  <c r="D8" i="13"/>
  <c r="E8" i="13"/>
  <c r="F8" i="13"/>
  <c r="G8" i="13"/>
  <c r="G8" i="14" s="1"/>
  <c r="H8" i="14"/>
  <c r="I8" i="14"/>
  <c r="J8" i="14"/>
  <c r="K8" i="14"/>
  <c r="L8" i="14"/>
  <c r="M8" i="14"/>
  <c r="N8" i="14"/>
  <c r="D9" i="13"/>
  <c r="E9" i="13"/>
  <c r="F9" i="13"/>
  <c r="G9" i="13"/>
  <c r="G9" i="14" s="1"/>
  <c r="H9" i="14"/>
  <c r="I9" i="14"/>
  <c r="J9" i="14"/>
  <c r="K9" i="14"/>
  <c r="L9" i="14"/>
  <c r="M9" i="14"/>
  <c r="N9" i="14"/>
  <c r="D10" i="13"/>
  <c r="E10" i="13"/>
  <c r="F10" i="13"/>
  <c r="G10" i="13"/>
  <c r="G10" i="14" s="1"/>
  <c r="H10" i="14"/>
  <c r="I10" i="14"/>
  <c r="J10" i="14"/>
  <c r="K10" i="14"/>
  <c r="L10" i="14"/>
  <c r="M10" i="14"/>
  <c r="N10" i="14"/>
  <c r="D11" i="13"/>
  <c r="E11" i="13"/>
  <c r="F11" i="13"/>
  <c r="G11" i="13"/>
  <c r="G11" i="14" s="1"/>
  <c r="H11" i="14"/>
  <c r="I11" i="14"/>
  <c r="J11" i="14"/>
  <c r="K11" i="14"/>
  <c r="L11" i="14"/>
  <c r="M11" i="14"/>
  <c r="N11" i="14"/>
  <c r="D12" i="13"/>
  <c r="E12" i="13"/>
  <c r="F12" i="13"/>
  <c r="G12" i="13"/>
  <c r="G12" i="14" s="1"/>
  <c r="H12" i="14"/>
  <c r="I12" i="14"/>
  <c r="J12" i="14"/>
  <c r="K12" i="14"/>
  <c r="L12" i="14"/>
  <c r="M12" i="14"/>
  <c r="N12" i="14"/>
  <c r="D13" i="13"/>
  <c r="E13" i="13"/>
  <c r="F13" i="13"/>
  <c r="G13" i="13"/>
  <c r="G13" i="14" s="1"/>
  <c r="H13" i="14"/>
  <c r="I13" i="14"/>
  <c r="J13" i="14"/>
  <c r="K13" i="14"/>
  <c r="L13" i="14"/>
  <c r="M13" i="14"/>
  <c r="N13" i="14"/>
  <c r="D14" i="13"/>
  <c r="E14" i="13"/>
  <c r="F14" i="13"/>
  <c r="G14" i="13"/>
  <c r="G14" i="14" s="1"/>
  <c r="H14" i="14"/>
  <c r="I14" i="14"/>
  <c r="J14" i="14"/>
  <c r="K14" i="14"/>
  <c r="L14" i="14"/>
  <c r="M14" i="14"/>
  <c r="N14" i="14"/>
  <c r="D15" i="13"/>
  <c r="E15" i="13"/>
  <c r="F15" i="13"/>
  <c r="G15" i="13"/>
  <c r="G15" i="14" s="1"/>
  <c r="H15" i="14"/>
  <c r="I15" i="14"/>
  <c r="J15" i="14"/>
  <c r="K15" i="14"/>
  <c r="L15" i="14"/>
  <c r="M15" i="14"/>
  <c r="N15" i="14"/>
  <c r="D16" i="13"/>
  <c r="E16" i="13"/>
  <c r="F16" i="13"/>
  <c r="G16" i="13"/>
  <c r="G16" i="14" s="1"/>
  <c r="H16" i="14"/>
  <c r="I16" i="14"/>
  <c r="J16" i="14"/>
  <c r="K16" i="14"/>
  <c r="L16" i="14"/>
  <c r="M16" i="14"/>
  <c r="N16" i="14"/>
  <c r="D17" i="13"/>
  <c r="E17" i="13"/>
  <c r="F17" i="13"/>
  <c r="G17" i="13"/>
  <c r="G17" i="14" s="1"/>
  <c r="H17" i="14"/>
  <c r="I17" i="14"/>
  <c r="J17" i="14"/>
  <c r="K17" i="14"/>
  <c r="L17" i="14"/>
  <c r="M17" i="14"/>
  <c r="N17" i="14"/>
  <c r="D18" i="13"/>
  <c r="E18" i="13"/>
  <c r="F18" i="13"/>
  <c r="G18" i="13"/>
  <c r="G18" i="14" s="1"/>
  <c r="H18" i="14"/>
  <c r="I18" i="14"/>
  <c r="J18" i="14"/>
  <c r="K18" i="14"/>
  <c r="L18" i="14"/>
  <c r="M18" i="14"/>
  <c r="N18" i="14"/>
  <c r="D19" i="13"/>
  <c r="E19" i="13"/>
  <c r="F19" i="13"/>
  <c r="G19" i="13"/>
  <c r="G19" i="14" s="1"/>
  <c r="H19" i="14"/>
  <c r="I19" i="14"/>
  <c r="J19" i="14"/>
  <c r="K19" i="14"/>
  <c r="L19" i="14"/>
  <c r="M19" i="14"/>
  <c r="N19" i="14"/>
  <c r="D20" i="13"/>
  <c r="E20" i="13"/>
  <c r="F20" i="13"/>
  <c r="G20" i="13"/>
  <c r="G20" i="14" s="1"/>
  <c r="H20" i="14"/>
  <c r="I20" i="14"/>
  <c r="J20" i="14"/>
  <c r="K20" i="14"/>
  <c r="L20" i="14"/>
  <c r="M20" i="14"/>
  <c r="N20" i="14"/>
  <c r="D21" i="13"/>
  <c r="E21" i="13"/>
  <c r="F21" i="13"/>
  <c r="G21" i="13"/>
  <c r="G21" i="14" s="1"/>
  <c r="H21" i="14"/>
  <c r="I21" i="14"/>
  <c r="J21" i="14"/>
  <c r="K21" i="14"/>
  <c r="L21" i="14"/>
  <c r="M21" i="14"/>
  <c r="N21" i="14"/>
  <c r="D22" i="13"/>
  <c r="E22" i="13"/>
  <c r="F22" i="13"/>
  <c r="G22" i="13"/>
  <c r="G22" i="14" s="1"/>
  <c r="H22" i="14"/>
  <c r="I22" i="14"/>
  <c r="J22" i="14"/>
  <c r="K22" i="14"/>
  <c r="L22" i="14"/>
  <c r="M22" i="14"/>
  <c r="N22" i="14"/>
  <c r="C6" i="13"/>
  <c r="C6" i="14" s="1"/>
  <c r="C7" i="13"/>
  <c r="C7" i="14" s="1"/>
  <c r="C8" i="13"/>
  <c r="C8" i="14" s="1"/>
  <c r="C9" i="13"/>
  <c r="C9" i="14" s="1"/>
  <c r="C10" i="13"/>
  <c r="C10" i="14" s="1"/>
  <c r="C11" i="13"/>
  <c r="C11" i="14" s="1"/>
  <c r="C12" i="13"/>
  <c r="C12" i="14" s="1"/>
  <c r="C13" i="13"/>
  <c r="C13" i="14" s="1"/>
  <c r="C14" i="13"/>
  <c r="C14" i="14" s="1"/>
  <c r="C15" i="13"/>
  <c r="C15" i="14" s="1"/>
  <c r="C16" i="13"/>
  <c r="C16" i="14" s="1"/>
  <c r="C17" i="13"/>
  <c r="C17" i="14" s="1"/>
  <c r="C18" i="13"/>
  <c r="C18" i="14" s="1"/>
  <c r="C19" i="13"/>
  <c r="C19" i="14" s="1"/>
  <c r="C20" i="13"/>
  <c r="C20" i="14" s="1"/>
  <c r="C21" i="13"/>
  <c r="C21" i="14" s="1"/>
  <c r="C22" i="13"/>
  <c r="C22" i="14" s="1"/>
  <c r="C5" i="13"/>
  <c r="N26" i="12"/>
  <c r="M26" i="12"/>
  <c r="L26" i="12"/>
  <c r="K26" i="12"/>
  <c r="J26" i="12"/>
  <c r="I26" i="12"/>
  <c r="H26" i="12"/>
  <c r="G26" i="12"/>
  <c r="F26" i="12"/>
  <c r="E26" i="12"/>
  <c r="D26" i="12"/>
  <c r="C26" i="12"/>
  <c r="O25" i="12"/>
  <c r="O24" i="12"/>
  <c r="N23" i="12"/>
  <c r="M23" i="12"/>
  <c r="M27" i="12" s="1"/>
  <c r="L23" i="12"/>
  <c r="L27" i="12" s="1"/>
  <c r="K23" i="12"/>
  <c r="K27" i="12" s="1"/>
  <c r="J23" i="12"/>
  <c r="J27" i="12" s="1"/>
  <c r="I23" i="12"/>
  <c r="I27" i="12" s="1"/>
  <c r="H23" i="12"/>
  <c r="H27" i="12" s="1"/>
  <c r="G23" i="12"/>
  <c r="G27" i="12" s="1"/>
  <c r="F23" i="12"/>
  <c r="F27" i="12" s="1"/>
  <c r="E23" i="12"/>
  <c r="E27" i="12" s="1"/>
  <c r="D23" i="12"/>
  <c r="D27" i="12" s="1"/>
  <c r="C23" i="12"/>
  <c r="C27" i="12" s="1"/>
  <c r="O22" i="12"/>
  <c r="O21" i="12"/>
  <c r="O20" i="12"/>
  <c r="O19" i="12"/>
  <c r="O18" i="12"/>
  <c r="O17" i="12"/>
  <c r="O16" i="12"/>
  <c r="O15" i="12"/>
  <c r="O14" i="12"/>
  <c r="O13" i="12"/>
  <c r="O12" i="12"/>
  <c r="O11" i="12"/>
  <c r="O10" i="12"/>
  <c r="O9" i="12"/>
  <c r="O8" i="12"/>
  <c r="O7" i="12"/>
  <c r="O6" i="12"/>
  <c r="C2" i="12"/>
  <c r="N26" i="10"/>
  <c r="M26" i="10"/>
  <c r="L26" i="10"/>
  <c r="K26" i="10"/>
  <c r="J26" i="10"/>
  <c r="I26" i="10"/>
  <c r="H26" i="10"/>
  <c r="G26" i="10"/>
  <c r="F26" i="10"/>
  <c r="E26" i="10"/>
  <c r="D26" i="10"/>
  <c r="C26" i="10"/>
  <c r="O25" i="10"/>
  <c r="O24" i="10"/>
  <c r="N23" i="10"/>
  <c r="N27" i="10" s="1"/>
  <c r="M23" i="10"/>
  <c r="M27" i="10" s="1"/>
  <c r="L23" i="10"/>
  <c r="L27" i="10" s="1"/>
  <c r="K23" i="10"/>
  <c r="K27" i="10" s="1"/>
  <c r="J23" i="10"/>
  <c r="J27" i="10" s="1"/>
  <c r="I23" i="10"/>
  <c r="I27" i="10" s="1"/>
  <c r="H23" i="10"/>
  <c r="H27" i="10" s="1"/>
  <c r="G23" i="10"/>
  <c r="G27" i="10" s="1"/>
  <c r="F23" i="10"/>
  <c r="F27" i="10" s="1"/>
  <c r="E23" i="10"/>
  <c r="E27" i="10" s="1"/>
  <c r="D23" i="10"/>
  <c r="D27" i="10" s="1"/>
  <c r="C23" i="10"/>
  <c r="C27" i="10" s="1"/>
  <c r="O22" i="10"/>
  <c r="O21" i="10"/>
  <c r="O20" i="10"/>
  <c r="O19" i="10"/>
  <c r="O18" i="10"/>
  <c r="O17" i="10"/>
  <c r="O16" i="10"/>
  <c r="O15" i="10"/>
  <c r="O14" i="10"/>
  <c r="O13" i="10"/>
  <c r="O12" i="10"/>
  <c r="O11" i="10"/>
  <c r="O10" i="10"/>
  <c r="O9" i="10"/>
  <c r="O8" i="10"/>
  <c r="O7" i="10"/>
  <c r="O6" i="10"/>
  <c r="O5" i="10"/>
  <c r="C2" i="10"/>
  <c r="N26" i="9"/>
  <c r="M26" i="9"/>
  <c r="L26" i="9"/>
  <c r="K26" i="9"/>
  <c r="J26" i="9"/>
  <c r="I26" i="9"/>
  <c r="H26" i="9"/>
  <c r="G26" i="9"/>
  <c r="F26" i="9"/>
  <c r="E26" i="9"/>
  <c r="D26" i="9"/>
  <c r="C26" i="9"/>
  <c r="O25" i="9"/>
  <c r="O24" i="9"/>
  <c r="N23" i="9"/>
  <c r="N27" i="9" s="1"/>
  <c r="M23" i="9"/>
  <c r="M27" i="9" s="1"/>
  <c r="L27" i="9"/>
  <c r="K23" i="9"/>
  <c r="K27" i="9" s="1"/>
  <c r="J23" i="9"/>
  <c r="J27" i="9" s="1"/>
  <c r="I23" i="9"/>
  <c r="I27" i="9" s="1"/>
  <c r="H23" i="9"/>
  <c r="H27" i="9" s="1"/>
  <c r="G23" i="9"/>
  <c r="G27" i="9" s="1"/>
  <c r="F23" i="9"/>
  <c r="F27" i="9" s="1"/>
  <c r="E23" i="9"/>
  <c r="E27" i="9" s="1"/>
  <c r="D23" i="9"/>
  <c r="D27" i="9" s="1"/>
  <c r="C23" i="9"/>
  <c r="C27" i="9" s="1"/>
  <c r="O22" i="9"/>
  <c r="O21" i="9"/>
  <c r="O20" i="9"/>
  <c r="O19" i="9"/>
  <c r="O18" i="9"/>
  <c r="O17" i="9"/>
  <c r="O16" i="9"/>
  <c r="O15" i="9"/>
  <c r="O14" i="9"/>
  <c r="O13" i="9"/>
  <c r="O12" i="9"/>
  <c r="O11" i="9"/>
  <c r="O10" i="9"/>
  <c r="O9" i="9"/>
  <c r="O8" i="9"/>
  <c r="O7" i="9"/>
  <c r="O6" i="9"/>
  <c r="O5" i="9"/>
  <c r="C2" i="9"/>
  <c r="N26" i="11"/>
  <c r="M26" i="11"/>
  <c r="L26" i="11"/>
  <c r="K26" i="11"/>
  <c r="J26" i="11"/>
  <c r="I26" i="11"/>
  <c r="H26" i="11"/>
  <c r="G26" i="11"/>
  <c r="F26" i="11"/>
  <c r="E26" i="11"/>
  <c r="D26" i="11"/>
  <c r="C26" i="11"/>
  <c r="O25" i="11"/>
  <c r="O24" i="11"/>
  <c r="N27" i="11"/>
  <c r="M23" i="11"/>
  <c r="M27" i="11" s="1"/>
  <c r="L23" i="11"/>
  <c r="L27" i="11" s="1"/>
  <c r="K23" i="11"/>
  <c r="K27" i="11" s="1"/>
  <c r="J23" i="11"/>
  <c r="J27" i="11" s="1"/>
  <c r="I23" i="11"/>
  <c r="I27" i="11" s="1"/>
  <c r="H23" i="11"/>
  <c r="H27" i="11" s="1"/>
  <c r="G23" i="11"/>
  <c r="G27" i="11" s="1"/>
  <c r="F23" i="11"/>
  <c r="F27" i="11" s="1"/>
  <c r="E23" i="11"/>
  <c r="E27" i="11" s="1"/>
  <c r="D23" i="11"/>
  <c r="D27" i="11" s="1"/>
  <c r="C23" i="11"/>
  <c r="C27" i="11" s="1"/>
  <c r="O22" i="11"/>
  <c r="O21" i="11"/>
  <c r="O20" i="11"/>
  <c r="O19" i="11"/>
  <c r="O18" i="11"/>
  <c r="O17" i="11"/>
  <c r="O16" i="11"/>
  <c r="O15" i="11"/>
  <c r="O14" i="11"/>
  <c r="O13" i="11"/>
  <c r="O12" i="11"/>
  <c r="O11" i="11"/>
  <c r="O10" i="11"/>
  <c r="O9" i="11"/>
  <c r="O8" i="11"/>
  <c r="O7" i="11"/>
  <c r="O6" i="11"/>
  <c r="C2" i="11"/>
  <c r="N26" i="8"/>
  <c r="M26" i="8"/>
  <c r="L26" i="8"/>
  <c r="K26" i="8"/>
  <c r="J26" i="8"/>
  <c r="I26" i="8"/>
  <c r="H26" i="8"/>
  <c r="G26" i="8"/>
  <c r="F26" i="8"/>
  <c r="E26" i="8"/>
  <c r="D26" i="8"/>
  <c r="C26" i="8"/>
  <c r="O25" i="8"/>
  <c r="O24" i="8"/>
  <c r="N23" i="8"/>
  <c r="N27" i="8" s="1"/>
  <c r="M23" i="8"/>
  <c r="M27" i="8" s="1"/>
  <c r="L23" i="8"/>
  <c r="L27" i="8" s="1"/>
  <c r="K23" i="8"/>
  <c r="K27" i="8" s="1"/>
  <c r="J23" i="8"/>
  <c r="J27" i="8" s="1"/>
  <c r="I23" i="8"/>
  <c r="I27" i="8" s="1"/>
  <c r="H23" i="8"/>
  <c r="H27" i="8" s="1"/>
  <c r="G23" i="8"/>
  <c r="G27" i="8" s="1"/>
  <c r="E23" i="8"/>
  <c r="E27" i="8" s="1"/>
  <c r="D23" i="8"/>
  <c r="D27" i="8" s="1"/>
  <c r="C23" i="8"/>
  <c r="C27" i="8" s="1"/>
  <c r="O22" i="8"/>
  <c r="O21" i="8"/>
  <c r="O20" i="8"/>
  <c r="O19" i="8"/>
  <c r="O18" i="8"/>
  <c r="O17" i="8"/>
  <c r="O16" i="8"/>
  <c r="O15" i="8"/>
  <c r="O14" i="8"/>
  <c r="O13" i="8"/>
  <c r="O12" i="8"/>
  <c r="O11" i="8"/>
  <c r="O10" i="8"/>
  <c r="O9" i="8"/>
  <c r="O8" i="8"/>
  <c r="O7" i="8"/>
  <c r="O6" i="8"/>
  <c r="O5" i="8"/>
  <c r="C2" i="8"/>
  <c r="N26" i="7"/>
  <c r="M26" i="7"/>
  <c r="L26" i="7"/>
  <c r="K26" i="7"/>
  <c r="J26" i="7"/>
  <c r="I26" i="7"/>
  <c r="H26" i="7"/>
  <c r="G26" i="7"/>
  <c r="F26" i="7"/>
  <c r="E26" i="7"/>
  <c r="D26" i="7"/>
  <c r="C26" i="7"/>
  <c r="O25" i="7"/>
  <c r="O24" i="7"/>
  <c r="N23" i="7"/>
  <c r="N27" i="7" s="1"/>
  <c r="M23" i="7"/>
  <c r="M27" i="7" s="1"/>
  <c r="L23" i="7"/>
  <c r="L27" i="7" s="1"/>
  <c r="K23" i="7"/>
  <c r="K27" i="7" s="1"/>
  <c r="J23" i="7"/>
  <c r="J27" i="7" s="1"/>
  <c r="I23" i="7"/>
  <c r="H23" i="7"/>
  <c r="H27" i="7" s="1"/>
  <c r="G23" i="7"/>
  <c r="G27" i="7" s="1"/>
  <c r="F23" i="7"/>
  <c r="F27" i="7" s="1"/>
  <c r="E23" i="7"/>
  <c r="D23" i="7"/>
  <c r="D27" i="7" s="1"/>
  <c r="C23" i="7"/>
  <c r="C27" i="7" s="1"/>
  <c r="O22" i="7"/>
  <c r="O21" i="7"/>
  <c r="O20" i="7"/>
  <c r="O19" i="7"/>
  <c r="O18" i="7"/>
  <c r="O17" i="7"/>
  <c r="O16" i="7"/>
  <c r="O15" i="7"/>
  <c r="O14" i="7"/>
  <c r="O13" i="7"/>
  <c r="O12" i="7"/>
  <c r="O11" i="7"/>
  <c r="O10" i="7"/>
  <c r="O9" i="7"/>
  <c r="O8" i="7"/>
  <c r="O7" i="7"/>
  <c r="O6" i="7"/>
  <c r="O5" i="7"/>
  <c r="C2" i="7"/>
  <c r="N26" i="16"/>
  <c r="M26" i="16"/>
  <c r="L26" i="16"/>
  <c r="K26" i="16"/>
  <c r="J26" i="16"/>
  <c r="I26" i="16"/>
  <c r="H26" i="16"/>
  <c r="G26" i="16"/>
  <c r="F26" i="16"/>
  <c r="E26" i="16"/>
  <c r="D26" i="16"/>
  <c r="C26" i="16"/>
  <c r="O26" i="16" s="1"/>
  <c r="O25" i="16"/>
  <c r="O24" i="16"/>
  <c r="C2" i="16"/>
  <c r="N26" i="14"/>
  <c r="M26" i="14"/>
  <c r="L26" i="14"/>
  <c r="K26" i="14"/>
  <c r="J26" i="14"/>
  <c r="I26" i="14"/>
  <c r="H26" i="14"/>
  <c r="G26" i="14"/>
  <c r="F26" i="14"/>
  <c r="E26" i="14"/>
  <c r="D26" i="14"/>
  <c r="C26" i="14"/>
  <c r="O25" i="14"/>
  <c r="O24" i="14"/>
  <c r="C2" i="14"/>
  <c r="H26" i="13"/>
  <c r="G26" i="13"/>
  <c r="F26" i="13"/>
  <c r="E26" i="13"/>
  <c r="O25" i="13"/>
  <c r="E23" i="13"/>
  <c r="O19" i="13"/>
  <c r="O13" i="13"/>
  <c r="C2" i="13"/>
  <c r="N26" i="6"/>
  <c r="M26" i="6"/>
  <c r="L26" i="6"/>
  <c r="K26" i="6"/>
  <c r="J26" i="6"/>
  <c r="I26" i="6"/>
  <c r="H26" i="6"/>
  <c r="G26" i="6"/>
  <c r="F26" i="6"/>
  <c r="E26" i="6"/>
  <c r="D26" i="6"/>
  <c r="C26" i="6"/>
  <c r="O25" i="6"/>
  <c r="O24" i="6"/>
  <c r="N23" i="6"/>
  <c r="N27" i="6" s="1"/>
  <c r="M23" i="6"/>
  <c r="M27" i="6" s="1"/>
  <c r="L23" i="6"/>
  <c r="L27" i="6" s="1"/>
  <c r="K23" i="6"/>
  <c r="K27" i="6" s="1"/>
  <c r="J23" i="6"/>
  <c r="J27" i="6" s="1"/>
  <c r="I23" i="6"/>
  <c r="I27" i="6" s="1"/>
  <c r="H23" i="6"/>
  <c r="H27" i="6" s="1"/>
  <c r="G23" i="6"/>
  <c r="G27" i="6" s="1"/>
  <c r="F23" i="6"/>
  <c r="F27" i="6" s="1"/>
  <c r="E23" i="6"/>
  <c r="E27" i="6" s="1"/>
  <c r="D23" i="6"/>
  <c r="D27" i="6" s="1"/>
  <c r="C23" i="6"/>
  <c r="C27" i="6" s="1"/>
  <c r="O22" i="6"/>
  <c r="O21" i="6"/>
  <c r="O20" i="6"/>
  <c r="O19" i="6"/>
  <c r="O18" i="6"/>
  <c r="O17" i="6"/>
  <c r="O16" i="6"/>
  <c r="O15" i="6"/>
  <c r="O14" i="6"/>
  <c r="O13" i="6"/>
  <c r="O12" i="6"/>
  <c r="O11" i="6"/>
  <c r="O10" i="6"/>
  <c r="O9" i="6"/>
  <c r="O8" i="6"/>
  <c r="O7" i="6"/>
  <c r="O6" i="6"/>
  <c r="O5" i="6"/>
  <c r="C2" i="6"/>
  <c r="N26" i="5"/>
  <c r="M26" i="5"/>
  <c r="L26" i="5"/>
  <c r="K26" i="5"/>
  <c r="J26" i="5"/>
  <c r="I26" i="5"/>
  <c r="H26" i="5"/>
  <c r="G26" i="5"/>
  <c r="F26" i="5"/>
  <c r="E26" i="5"/>
  <c r="D26" i="5"/>
  <c r="C26" i="5"/>
  <c r="O25" i="5"/>
  <c r="O24" i="5"/>
  <c r="N27" i="5"/>
  <c r="M27" i="5"/>
  <c r="L27" i="5"/>
  <c r="K27" i="5"/>
  <c r="J27" i="5"/>
  <c r="I27" i="5"/>
  <c r="H27" i="5"/>
  <c r="G27" i="5"/>
  <c r="F27" i="5"/>
  <c r="E27" i="5"/>
  <c r="D27" i="5"/>
  <c r="C27" i="5"/>
  <c r="C2" i="5"/>
  <c r="N26" i="4"/>
  <c r="M26" i="4"/>
  <c r="L26" i="4"/>
  <c r="J26" i="4"/>
  <c r="I26" i="4"/>
  <c r="H26" i="4"/>
  <c r="G26" i="4"/>
  <c r="F26" i="4"/>
  <c r="E26" i="4"/>
  <c r="D26" i="4"/>
  <c r="C26" i="4"/>
  <c r="O25" i="4"/>
  <c r="O24" i="4"/>
  <c r="N23" i="4"/>
  <c r="M23" i="4"/>
  <c r="L23" i="4"/>
  <c r="K23" i="4"/>
  <c r="K27" i="4" s="1"/>
  <c r="J23" i="4"/>
  <c r="J27" i="4" s="1"/>
  <c r="I23" i="4"/>
  <c r="I27" i="4" s="1"/>
  <c r="H23" i="4"/>
  <c r="H27" i="4" s="1"/>
  <c r="G23" i="4"/>
  <c r="G27" i="4" s="1"/>
  <c r="F23" i="4"/>
  <c r="F27" i="4" s="1"/>
  <c r="E23" i="4"/>
  <c r="E27" i="4" s="1"/>
  <c r="D23" i="4"/>
  <c r="D27" i="4" s="1"/>
  <c r="C23" i="4"/>
  <c r="C27" i="4" s="1"/>
  <c r="O22" i="4"/>
  <c r="O21" i="4"/>
  <c r="O20" i="4"/>
  <c r="O19" i="4"/>
  <c r="O18" i="4"/>
  <c r="O17" i="4"/>
  <c r="O16" i="4"/>
  <c r="O15" i="4"/>
  <c r="O14" i="4"/>
  <c r="O13" i="4"/>
  <c r="O12" i="4"/>
  <c r="O11" i="4"/>
  <c r="O10" i="4"/>
  <c r="O9" i="4"/>
  <c r="O8" i="4"/>
  <c r="O7" i="4"/>
  <c r="O6" i="4"/>
  <c r="O5" i="4"/>
  <c r="C2" i="4"/>
  <c r="N26" i="3"/>
  <c r="M26" i="3"/>
  <c r="L26" i="3"/>
  <c r="K26" i="3"/>
  <c r="J26" i="3"/>
  <c r="I26" i="3"/>
  <c r="H26" i="3"/>
  <c r="G26" i="3"/>
  <c r="F26" i="3"/>
  <c r="E26" i="3"/>
  <c r="D26" i="3"/>
  <c r="C26" i="3"/>
  <c r="O25" i="3"/>
  <c r="O24" i="3"/>
  <c r="N27" i="3"/>
  <c r="M27" i="3"/>
  <c r="L27" i="3"/>
  <c r="K27" i="3"/>
  <c r="J27" i="3"/>
  <c r="I27" i="3"/>
  <c r="H27" i="3"/>
  <c r="G27" i="3"/>
  <c r="F27" i="3"/>
  <c r="E27" i="3"/>
  <c r="D27" i="3"/>
  <c r="C27" i="3"/>
  <c r="C2" i="3"/>
  <c r="D26" i="2"/>
  <c r="E26" i="2"/>
  <c r="F26" i="2"/>
  <c r="G26" i="2"/>
  <c r="H26" i="2"/>
  <c r="I26" i="2"/>
  <c r="J26" i="2"/>
  <c r="K26" i="2"/>
  <c r="L26" i="2"/>
  <c r="M26" i="2"/>
  <c r="N26" i="2"/>
  <c r="C26" i="2"/>
  <c r="D23" i="2"/>
  <c r="D27" i="2" s="1"/>
  <c r="E23" i="2"/>
  <c r="E27" i="2" s="1"/>
  <c r="F27" i="2"/>
  <c r="G23" i="2"/>
  <c r="H23" i="2"/>
  <c r="H27" i="2" s="1"/>
  <c r="I23" i="2"/>
  <c r="I27" i="2" s="1"/>
  <c r="J23" i="2"/>
  <c r="J27" i="2" s="1"/>
  <c r="K23" i="2"/>
  <c r="L23" i="2"/>
  <c r="L27" i="2" s="1"/>
  <c r="M23" i="2"/>
  <c r="M27" i="2" s="1"/>
  <c r="N23" i="2"/>
  <c r="N27" i="2" s="1"/>
  <c r="C23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4" i="2"/>
  <c r="O25" i="2"/>
  <c r="O5" i="2"/>
  <c r="N27" i="12" l="1"/>
  <c r="N27" i="4"/>
  <c r="M27" i="4"/>
  <c r="L27" i="4"/>
  <c r="K27" i="2"/>
  <c r="O26" i="14"/>
  <c r="O20" i="13"/>
  <c r="O7" i="13"/>
  <c r="O15" i="13"/>
  <c r="I27" i="7"/>
  <c r="O26" i="2"/>
  <c r="O26" i="8"/>
  <c r="O26" i="11"/>
  <c r="O18" i="13"/>
  <c r="O22" i="13"/>
  <c r="D26" i="13"/>
  <c r="N5" i="16"/>
  <c r="J5" i="16"/>
  <c r="E27" i="13"/>
  <c r="C5" i="16"/>
  <c r="M5" i="16"/>
  <c r="K5" i="16"/>
  <c r="I5" i="16"/>
  <c r="N22" i="16"/>
  <c r="L22" i="16"/>
  <c r="J22" i="16"/>
  <c r="N21" i="16"/>
  <c r="L21" i="16"/>
  <c r="J21" i="16"/>
  <c r="N20" i="16"/>
  <c r="L20" i="16"/>
  <c r="J20" i="16"/>
  <c r="N19" i="16"/>
  <c r="L19" i="16"/>
  <c r="J19" i="16"/>
  <c r="N18" i="16"/>
  <c r="L18" i="16"/>
  <c r="J18" i="16"/>
  <c r="N17" i="16"/>
  <c r="L17" i="16"/>
  <c r="J17" i="16"/>
  <c r="N16" i="16"/>
  <c r="L16" i="16"/>
  <c r="J16" i="16"/>
  <c r="N15" i="16"/>
  <c r="L15" i="16"/>
  <c r="J15" i="16"/>
  <c r="N14" i="16"/>
  <c r="L14" i="16"/>
  <c r="J14" i="16"/>
  <c r="N13" i="16"/>
  <c r="L13" i="16"/>
  <c r="J13" i="16"/>
  <c r="N12" i="16"/>
  <c r="L12" i="16"/>
  <c r="J12" i="16"/>
  <c r="N11" i="16"/>
  <c r="L11" i="16"/>
  <c r="J11" i="16"/>
  <c r="N10" i="16"/>
  <c r="L10" i="16"/>
  <c r="J10" i="16"/>
  <c r="N9" i="16"/>
  <c r="L9" i="16"/>
  <c r="J9" i="16"/>
  <c r="N8" i="16"/>
  <c r="L8" i="16"/>
  <c r="J8" i="16"/>
  <c r="N7" i="16"/>
  <c r="L7" i="16"/>
  <c r="J7" i="16"/>
  <c r="N6" i="16"/>
  <c r="L6" i="16"/>
  <c r="J6" i="16"/>
  <c r="M22" i="16"/>
  <c r="K22" i="16"/>
  <c r="I22" i="16"/>
  <c r="C22" i="16"/>
  <c r="M21" i="16"/>
  <c r="K21" i="16"/>
  <c r="I21" i="16"/>
  <c r="C21" i="16"/>
  <c r="M20" i="16"/>
  <c r="K20" i="16"/>
  <c r="I20" i="16"/>
  <c r="C20" i="16"/>
  <c r="M19" i="16"/>
  <c r="K19" i="16"/>
  <c r="I19" i="16"/>
  <c r="C19" i="16"/>
  <c r="M18" i="16"/>
  <c r="K18" i="16"/>
  <c r="I18" i="16"/>
  <c r="C18" i="16"/>
  <c r="M17" i="16"/>
  <c r="K17" i="16"/>
  <c r="I17" i="16"/>
  <c r="C17" i="16"/>
  <c r="M16" i="16"/>
  <c r="K16" i="16"/>
  <c r="I16" i="16"/>
  <c r="C16" i="16"/>
  <c r="M15" i="16"/>
  <c r="K15" i="16"/>
  <c r="I15" i="16"/>
  <c r="C15" i="16"/>
  <c r="M14" i="16"/>
  <c r="K14" i="16"/>
  <c r="I14" i="16"/>
  <c r="C14" i="16"/>
  <c r="M13" i="16"/>
  <c r="K13" i="16"/>
  <c r="I13" i="16"/>
  <c r="C13" i="16"/>
  <c r="M12" i="16"/>
  <c r="K12" i="16"/>
  <c r="I12" i="16"/>
  <c r="M11" i="16"/>
  <c r="K11" i="16"/>
  <c r="I11" i="16"/>
  <c r="C11" i="16"/>
  <c r="M10" i="16"/>
  <c r="K10" i="16"/>
  <c r="I10" i="16"/>
  <c r="C10" i="16"/>
  <c r="M9" i="16"/>
  <c r="K9" i="16"/>
  <c r="I9" i="16"/>
  <c r="C9" i="16"/>
  <c r="M8" i="16"/>
  <c r="K8" i="16"/>
  <c r="I8" i="16"/>
  <c r="C8" i="16"/>
  <c r="M7" i="16"/>
  <c r="K7" i="16"/>
  <c r="I7" i="16"/>
  <c r="C7" i="16"/>
  <c r="M6" i="16"/>
  <c r="K6" i="16"/>
  <c r="I6" i="16"/>
  <c r="C6" i="16"/>
  <c r="H23" i="17"/>
  <c r="H27" i="17" s="1"/>
  <c r="H23" i="13"/>
  <c r="H27" i="13" s="1"/>
  <c r="C12" i="16"/>
  <c r="H22" i="16"/>
  <c r="H21" i="16"/>
  <c r="H20" i="16"/>
  <c r="H19" i="16"/>
  <c r="H18" i="16"/>
  <c r="H17" i="16"/>
  <c r="H16" i="16"/>
  <c r="H15" i="16"/>
  <c r="H14" i="16"/>
  <c r="H13" i="16"/>
  <c r="H12" i="16"/>
  <c r="H11" i="16"/>
  <c r="H10" i="16"/>
  <c r="H9" i="16"/>
  <c r="H8" i="16"/>
  <c r="H7" i="16"/>
  <c r="H6" i="16"/>
  <c r="H5" i="16"/>
  <c r="C27" i="2"/>
  <c r="O11" i="13"/>
  <c r="G23" i="13"/>
  <c r="G27" i="13" s="1"/>
  <c r="G27" i="2"/>
  <c r="O27" i="2" s="1"/>
  <c r="G22" i="16"/>
  <c r="G21" i="16"/>
  <c r="G20" i="16"/>
  <c r="G19" i="16"/>
  <c r="G18" i="16"/>
  <c r="G17" i="16"/>
  <c r="G16" i="16"/>
  <c r="G15" i="16"/>
  <c r="G14" i="16"/>
  <c r="G13" i="16"/>
  <c r="G12" i="16"/>
  <c r="G11" i="16"/>
  <c r="G10" i="16"/>
  <c r="G9" i="16"/>
  <c r="G8" i="16"/>
  <c r="G7" i="16"/>
  <c r="G6" i="16"/>
  <c r="G5" i="16"/>
  <c r="L23" i="17"/>
  <c r="L27" i="17" s="1"/>
  <c r="L5" i="16"/>
  <c r="O16" i="17"/>
  <c r="O26" i="4"/>
  <c r="F23" i="13"/>
  <c r="F27" i="13" s="1"/>
  <c r="F22" i="14"/>
  <c r="F22" i="16"/>
  <c r="F21" i="14"/>
  <c r="F21" i="16"/>
  <c r="F20" i="14"/>
  <c r="F20" i="16"/>
  <c r="F19" i="14"/>
  <c r="F19" i="16"/>
  <c r="F18" i="14"/>
  <c r="F18" i="16"/>
  <c r="F17" i="14"/>
  <c r="F17" i="16"/>
  <c r="F16" i="14"/>
  <c r="F16" i="16"/>
  <c r="F15" i="14"/>
  <c r="F15" i="16"/>
  <c r="F14" i="14"/>
  <c r="F14" i="16"/>
  <c r="F13" i="14"/>
  <c r="F13" i="16"/>
  <c r="F12" i="14"/>
  <c r="F12" i="16"/>
  <c r="F11" i="14"/>
  <c r="F11" i="16"/>
  <c r="F10" i="14"/>
  <c r="F10" i="16"/>
  <c r="F9" i="14"/>
  <c r="F9" i="16"/>
  <c r="F8" i="14"/>
  <c r="F8" i="16"/>
  <c r="F7" i="14"/>
  <c r="F7" i="16"/>
  <c r="F6" i="14"/>
  <c r="F6" i="16"/>
  <c r="F5" i="14"/>
  <c r="F23" i="14" s="1"/>
  <c r="F27" i="14" s="1"/>
  <c r="F5" i="16"/>
  <c r="F23" i="16" s="1"/>
  <c r="F27" i="16" s="1"/>
  <c r="O5" i="13"/>
  <c r="E22" i="14"/>
  <c r="E22" i="16"/>
  <c r="E21" i="14"/>
  <c r="E21" i="16"/>
  <c r="E20" i="14"/>
  <c r="E20" i="16"/>
  <c r="E19" i="14"/>
  <c r="E19" i="16"/>
  <c r="E18" i="14"/>
  <c r="E18" i="16"/>
  <c r="E17" i="14"/>
  <c r="E17" i="16"/>
  <c r="E16" i="14"/>
  <c r="E16" i="16"/>
  <c r="O16" i="13"/>
  <c r="E15" i="14"/>
  <c r="E15" i="16"/>
  <c r="E14" i="14"/>
  <c r="E14" i="16"/>
  <c r="O14" i="13"/>
  <c r="E13" i="14"/>
  <c r="E13" i="16"/>
  <c r="E12" i="14"/>
  <c r="E12" i="16"/>
  <c r="O12" i="13"/>
  <c r="E11" i="14"/>
  <c r="E11" i="16"/>
  <c r="E10" i="14"/>
  <c r="E10" i="16"/>
  <c r="O9" i="13"/>
  <c r="E9" i="14"/>
  <c r="E9" i="16"/>
  <c r="E8" i="14"/>
  <c r="E8" i="16"/>
  <c r="E7" i="14"/>
  <c r="E7" i="16"/>
  <c r="E6" i="14"/>
  <c r="E6" i="16"/>
  <c r="E5" i="14"/>
  <c r="E5" i="16"/>
  <c r="O26" i="6"/>
  <c r="D23" i="17"/>
  <c r="D27" i="17" s="1"/>
  <c r="O27" i="11"/>
  <c r="D22" i="14"/>
  <c r="D22" i="16"/>
  <c r="D21" i="14"/>
  <c r="D21" i="16"/>
  <c r="D20" i="14"/>
  <c r="D20" i="16"/>
  <c r="D19" i="14"/>
  <c r="D19" i="16"/>
  <c r="D18" i="14"/>
  <c r="O18" i="14" s="1"/>
  <c r="D18" i="16"/>
  <c r="D17" i="14"/>
  <c r="D17" i="16"/>
  <c r="D16" i="14"/>
  <c r="D16" i="16"/>
  <c r="D15" i="14"/>
  <c r="O15" i="14" s="1"/>
  <c r="D15" i="16"/>
  <c r="D14" i="14"/>
  <c r="O14" i="14" s="1"/>
  <c r="D14" i="16"/>
  <c r="D13" i="14"/>
  <c r="O13" i="14" s="1"/>
  <c r="D13" i="16"/>
  <c r="D12" i="14"/>
  <c r="D12" i="16"/>
  <c r="D11" i="14"/>
  <c r="O11" i="14" s="1"/>
  <c r="D11" i="16"/>
  <c r="D10" i="14"/>
  <c r="O10" i="14" s="1"/>
  <c r="D10" i="16"/>
  <c r="D9" i="14"/>
  <c r="O9" i="14" s="1"/>
  <c r="D9" i="16"/>
  <c r="D8" i="14"/>
  <c r="D8" i="16"/>
  <c r="D7" i="14"/>
  <c r="O7" i="14" s="1"/>
  <c r="D7" i="16"/>
  <c r="D23" i="13"/>
  <c r="D27" i="13" s="1"/>
  <c r="D6" i="14"/>
  <c r="D6" i="16"/>
  <c r="D5" i="14"/>
  <c r="D5" i="16"/>
  <c r="O20" i="17"/>
  <c r="M23" i="17"/>
  <c r="K23" i="17"/>
  <c r="K27" i="17" s="1"/>
  <c r="I23" i="17"/>
  <c r="G23" i="17"/>
  <c r="G27" i="17" s="1"/>
  <c r="E23" i="17"/>
  <c r="E27" i="17" s="1"/>
  <c r="O12" i="17"/>
  <c r="O26" i="3"/>
  <c r="N2" i="7"/>
  <c r="N2" i="11"/>
  <c r="N2" i="10"/>
  <c r="N2" i="8"/>
  <c r="N2" i="9"/>
  <c r="O26" i="5"/>
  <c r="O21" i="13"/>
  <c r="O17" i="13"/>
  <c r="O10" i="13"/>
  <c r="O8" i="13"/>
  <c r="O6" i="13"/>
  <c r="O27" i="6"/>
  <c r="O26" i="12"/>
  <c r="O26" i="10"/>
  <c r="O26" i="9"/>
  <c r="C26" i="17"/>
  <c r="M26" i="17"/>
  <c r="I26" i="17"/>
  <c r="K1" i="10"/>
  <c r="K1" i="12"/>
  <c r="O26" i="7"/>
  <c r="O22" i="17"/>
  <c r="O21" i="17"/>
  <c r="O19" i="17"/>
  <c r="O18" i="17"/>
  <c r="O17" i="17"/>
  <c r="O15" i="17"/>
  <c r="O14" i="17"/>
  <c r="O13" i="17"/>
  <c r="N23" i="17"/>
  <c r="N27" i="17" s="1"/>
  <c r="J23" i="17"/>
  <c r="J27" i="17" s="1"/>
  <c r="F23" i="17"/>
  <c r="F27" i="17" s="1"/>
  <c r="O9" i="17"/>
  <c r="O11" i="17"/>
  <c r="O10" i="17"/>
  <c r="O8" i="17"/>
  <c r="O7" i="17"/>
  <c r="O23" i="2"/>
  <c r="P7" i="2" s="1"/>
  <c r="N23" i="14"/>
  <c r="N27" i="14" s="1"/>
  <c r="J23" i="14"/>
  <c r="J27" i="14" s="1"/>
  <c r="M23" i="14"/>
  <c r="M27" i="14" s="1"/>
  <c r="I23" i="14"/>
  <c r="I27" i="14" s="1"/>
  <c r="L23" i="14"/>
  <c r="L27" i="14" s="1"/>
  <c r="H23" i="14"/>
  <c r="H27" i="14" s="1"/>
  <c r="K23" i="14"/>
  <c r="K27" i="14" s="1"/>
  <c r="G23" i="14"/>
  <c r="G27" i="14" s="1"/>
  <c r="C5" i="14"/>
  <c r="C23" i="14" s="1"/>
  <c r="C27" i="14" s="1"/>
  <c r="O24" i="17"/>
  <c r="O25" i="17"/>
  <c r="O6" i="17"/>
  <c r="O5" i="17"/>
  <c r="C23" i="17"/>
  <c r="C26" i="13"/>
  <c r="O26" i="13" s="1"/>
  <c r="O24" i="13"/>
  <c r="C23" i="13"/>
  <c r="O27" i="12"/>
  <c r="O23" i="12"/>
  <c r="O27" i="10"/>
  <c r="O23" i="10"/>
  <c r="O27" i="9"/>
  <c r="O23" i="9"/>
  <c r="O23" i="11"/>
  <c r="P23" i="11" s="1"/>
  <c r="O27" i="8"/>
  <c r="O23" i="8"/>
  <c r="P26" i="8" s="1"/>
  <c r="O27" i="7"/>
  <c r="O23" i="7"/>
  <c r="O23" i="6"/>
  <c r="P23" i="6" s="1"/>
  <c r="O27" i="5"/>
  <c r="O27" i="4"/>
  <c r="O23" i="4"/>
  <c r="P26" i="4" s="1"/>
  <c r="P12" i="3"/>
  <c r="P21" i="3"/>
  <c r="P19" i="3"/>
  <c r="O27" i="3"/>
  <c r="P24" i="3"/>
  <c r="P23" i="3"/>
  <c r="O19" i="14" l="1"/>
  <c r="O20" i="14"/>
  <c r="O22" i="14"/>
  <c r="P26" i="12"/>
  <c r="I27" i="17"/>
  <c r="O10" i="16"/>
  <c r="N23" i="16"/>
  <c r="N27" i="16" s="1"/>
  <c r="L23" i="16"/>
  <c r="L27" i="16" s="1"/>
  <c r="P14" i="3"/>
  <c r="P6" i="3"/>
  <c r="O6" i="14"/>
  <c r="J23" i="16"/>
  <c r="J27" i="16" s="1"/>
  <c r="C23" i="16"/>
  <c r="C27" i="16" s="1"/>
  <c r="K23" i="16"/>
  <c r="K27" i="16" s="1"/>
  <c r="O21" i="14"/>
  <c r="I23" i="16"/>
  <c r="I27" i="16" s="1"/>
  <c r="M23" i="16"/>
  <c r="M27" i="16" s="1"/>
  <c r="H23" i="16"/>
  <c r="H27" i="16" s="1"/>
  <c r="O15" i="16"/>
  <c r="O11" i="16"/>
  <c r="G23" i="16"/>
  <c r="G27" i="16" s="1"/>
  <c r="O17" i="14"/>
  <c r="M27" i="17"/>
  <c r="O6" i="16"/>
  <c r="O16" i="14"/>
  <c r="O8" i="14"/>
  <c r="O21" i="16"/>
  <c r="O16" i="16"/>
  <c r="O14" i="16"/>
  <c r="O22" i="16"/>
  <c r="O20" i="16"/>
  <c r="O19" i="16"/>
  <c r="O18" i="16"/>
  <c r="O17" i="16"/>
  <c r="O13" i="16"/>
  <c r="O12" i="16"/>
  <c r="E23" i="16"/>
  <c r="E27" i="16" s="1"/>
  <c r="O7" i="16"/>
  <c r="E23" i="14"/>
  <c r="E27" i="14" s="1"/>
  <c r="O8" i="16"/>
  <c r="O9" i="16"/>
  <c r="O12" i="14"/>
  <c r="P26" i="5"/>
  <c r="D23" i="14"/>
  <c r="D27" i="14" s="1"/>
  <c r="D23" i="16"/>
  <c r="O5" i="16"/>
  <c r="P27" i="3"/>
  <c r="P22" i="3"/>
  <c r="P7" i="3"/>
  <c r="P13" i="3"/>
  <c r="P20" i="3"/>
  <c r="P5" i="3"/>
  <c r="P25" i="6"/>
  <c r="P13" i="6"/>
  <c r="P18" i="6"/>
  <c r="P27" i="6"/>
  <c r="P9" i="6"/>
  <c r="P14" i="6"/>
  <c r="P20" i="6"/>
  <c r="P26" i="6"/>
  <c r="P10" i="6"/>
  <c r="P24" i="6"/>
  <c r="P8" i="6"/>
  <c r="C27" i="17"/>
  <c r="P26" i="9"/>
  <c r="O26" i="17"/>
  <c r="P9" i="11"/>
  <c r="P24" i="11"/>
  <c r="P6" i="11"/>
  <c r="P14" i="11"/>
  <c r="P21" i="11"/>
  <c r="P5" i="11"/>
  <c r="O23" i="17"/>
  <c r="P24" i="17" s="1"/>
  <c r="P27" i="11"/>
  <c r="P11" i="11"/>
  <c r="P19" i="11"/>
  <c r="P17" i="11"/>
  <c r="P25" i="11"/>
  <c r="P15" i="11"/>
  <c r="O5" i="14"/>
  <c r="P15" i="2"/>
  <c r="P24" i="2"/>
  <c r="P18" i="2"/>
  <c r="P9" i="2"/>
  <c r="P13" i="2"/>
  <c r="P11" i="2"/>
  <c r="P26" i="2"/>
  <c r="P23" i="2"/>
  <c r="P16" i="2"/>
  <c r="P6" i="2"/>
  <c r="P21" i="2"/>
  <c r="P14" i="2"/>
  <c r="P22" i="2"/>
  <c r="P8" i="2"/>
  <c r="P19" i="2"/>
  <c r="P27" i="2"/>
  <c r="P12" i="2"/>
  <c r="P20" i="2"/>
  <c r="P5" i="2"/>
  <c r="P10" i="2"/>
  <c r="P17" i="2"/>
  <c r="P25" i="2"/>
  <c r="C27" i="13"/>
  <c r="O27" i="13" s="1"/>
  <c r="O23" i="13"/>
  <c r="P26" i="13" s="1"/>
  <c r="P25" i="12"/>
  <c r="P23" i="12"/>
  <c r="P21" i="12"/>
  <c r="P19" i="12"/>
  <c r="P17" i="12"/>
  <c r="P15" i="12"/>
  <c r="P13" i="12"/>
  <c r="P10" i="12"/>
  <c r="P8" i="12"/>
  <c r="P6" i="12"/>
  <c r="P24" i="12"/>
  <c r="P22" i="12"/>
  <c r="P20" i="12"/>
  <c r="P18" i="12"/>
  <c r="P16" i="12"/>
  <c r="P14" i="12"/>
  <c r="P12" i="12"/>
  <c r="P11" i="12"/>
  <c r="P9" i="12"/>
  <c r="P7" i="12"/>
  <c r="P5" i="12"/>
  <c r="P27" i="12"/>
  <c r="P25" i="10"/>
  <c r="P23" i="10"/>
  <c r="P21" i="10"/>
  <c r="P19" i="10"/>
  <c r="P17" i="10"/>
  <c r="P15" i="10"/>
  <c r="P13" i="10"/>
  <c r="P10" i="10"/>
  <c r="P8" i="10"/>
  <c r="P6" i="10"/>
  <c r="P24" i="10"/>
  <c r="P22" i="10"/>
  <c r="P20" i="10"/>
  <c r="P18" i="10"/>
  <c r="P16" i="10"/>
  <c r="P14" i="10"/>
  <c r="P12" i="10"/>
  <c r="P11" i="10"/>
  <c r="P9" i="10"/>
  <c r="P7" i="10"/>
  <c r="P5" i="10"/>
  <c r="P27" i="10"/>
  <c r="P26" i="10"/>
  <c r="P25" i="9"/>
  <c r="P23" i="9"/>
  <c r="P21" i="9"/>
  <c r="P19" i="9"/>
  <c r="P17" i="9"/>
  <c r="P15" i="9"/>
  <c r="P13" i="9"/>
  <c r="P10" i="9"/>
  <c r="P8" i="9"/>
  <c r="P6" i="9"/>
  <c r="P24" i="9"/>
  <c r="P22" i="9"/>
  <c r="P20" i="9"/>
  <c r="P18" i="9"/>
  <c r="P16" i="9"/>
  <c r="P14" i="9"/>
  <c r="P12" i="9"/>
  <c r="P11" i="9"/>
  <c r="P9" i="9"/>
  <c r="P7" i="9"/>
  <c r="P5" i="9"/>
  <c r="P27" i="9"/>
  <c r="P22" i="11"/>
  <c r="P7" i="11"/>
  <c r="P8" i="11"/>
  <c r="P13" i="11"/>
  <c r="P20" i="11"/>
  <c r="P18" i="11"/>
  <c r="P16" i="11"/>
  <c r="P26" i="11"/>
  <c r="P10" i="11"/>
  <c r="P12" i="11"/>
  <c r="P25" i="8"/>
  <c r="P23" i="8"/>
  <c r="P21" i="8"/>
  <c r="P19" i="8"/>
  <c r="P17" i="8"/>
  <c r="P15" i="8"/>
  <c r="P13" i="8"/>
  <c r="P10" i="8"/>
  <c r="P8" i="8"/>
  <c r="P6" i="8"/>
  <c r="P24" i="8"/>
  <c r="P22" i="8"/>
  <c r="P20" i="8"/>
  <c r="P18" i="8"/>
  <c r="P16" i="8"/>
  <c r="P14" i="8"/>
  <c r="P12" i="8"/>
  <c r="P11" i="8"/>
  <c r="P9" i="8"/>
  <c r="P7" i="8"/>
  <c r="P5" i="8"/>
  <c r="P27" i="8"/>
  <c r="P25" i="7"/>
  <c r="P23" i="7"/>
  <c r="P21" i="7"/>
  <c r="P19" i="7"/>
  <c r="P17" i="7"/>
  <c r="P15" i="7"/>
  <c r="P13" i="7"/>
  <c r="P10" i="7"/>
  <c r="P8" i="7"/>
  <c r="P6" i="7"/>
  <c r="P24" i="7"/>
  <c r="P22" i="7"/>
  <c r="P20" i="7"/>
  <c r="P18" i="7"/>
  <c r="P16" i="7"/>
  <c r="P14" i="7"/>
  <c r="P12" i="7"/>
  <c r="P11" i="7"/>
  <c r="P9" i="7"/>
  <c r="P7" i="7"/>
  <c r="P5" i="7"/>
  <c r="P27" i="7"/>
  <c r="P26" i="7"/>
  <c r="P11" i="6"/>
  <c r="P12" i="6"/>
  <c r="P21" i="6"/>
  <c r="P6" i="6"/>
  <c r="P19" i="6"/>
  <c r="P22" i="6"/>
  <c r="P7" i="6"/>
  <c r="P5" i="6"/>
  <c r="P17" i="6"/>
  <c r="P16" i="6"/>
  <c r="P15" i="6"/>
  <c r="P23" i="5"/>
  <c r="P17" i="5"/>
  <c r="P13" i="5"/>
  <c r="P10" i="5"/>
  <c r="P8" i="5"/>
  <c r="P18" i="5"/>
  <c r="P12" i="5"/>
  <c r="P9" i="5"/>
  <c r="P5" i="5"/>
  <c r="P24" i="5"/>
  <c r="P22" i="5"/>
  <c r="P20" i="5"/>
  <c r="P16" i="5"/>
  <c r="P14" i="5"/>
  <c r="P11" i="5"/>
  <c r="P7" i="5"/>
  <c r="P25" i="5"/>
  <c r="P21" i="5"/>
  <c r="P19" i="5"/>
  <c r="P15" i="5"/>
  <c r="P6" i="5"/>
  <c r="P27" i="5"/>
  <c r="P25" i="4"/>
  <c r="P23" i="4"/>
  <c r="P17" i="4"/>
  <c r="P8" i="4"/>
  <c r="P20" i="4"/>
  <c r="P14" i="4"/>
  <c r="P11" i="4"/>
  <c r="P9" i="4"/>
  <c r="P5" i="4"/>
  <c r="P24" i="4"/>
  <c r="P22" i="4"/>
  <c r="P18" i="4"/>
  <c r="P16" i="4"/>
  <c r="P12" i="4"/>
  <c r="P7" i="4"/>
  <c r="P21" i="4"/>
  <c r="P19" i="4"/>
  <c r="P15" i="4"/>
  <c r="P13" i="4"/>
  <c r="P10" i="4"/>
  <c r="P6" i="4"/>
  <c r="P27" i="4"/>
  <c r="P15" i="3"/>
  <c r="P18" i="3"/>
  <c r="P26" i="3"/>
  <c r="P10" i="3"/>
  <c r="P16" i="3"/>
  <c r="P8" i="3"/>
  <c r="P11" i="3"/>
  <c r="P17" i="3"/>
  <c r="P25" i="3"/>
  <c r="P9" i="3"/>
  <c r="O27" i="17" l="1"/>
  <c r="D8" i="1" s="1"/>
  <c r="O27" i="14"/>
  <c r="D7" i="1" s="1"/>
  <c r="O23" i="14"/>
  <c r="P26" i="14" s="1"/>
  <c r="D27" i="16"/>
  <c r="O27" i="16" s="1"/>
  <c r="O23" i="16"/>
  <c r="P8" i="17"/>
  <c r="P9" i="17"/>
  <c r="P15" i="17"/>
  <c r="P25" i="17"/>
  <c r="P16" i="17"/>
  <c r="P26" i="17"/>
  <c r="P17" i="17"/>
  <c r="P5" i="17"/>
  <c r="P12" i="17"/>
  <c r="P20" i="17"/>
  <c r="P6" i="17"/>
  <c r="P10" i="17"/>
  <c r="P19" i="17"/>
  <c r="P13" i="17"/>
  <c r="P21" i="17"/>
  <c r="P7" i="17"/>
  <c r="P11" i="17"/>
  <c r="P14" i="17"/>
  <c r="P18" i="17"/>
  <c r="P22" i="17"/>
  <c r="P23" i="17"/>
  <c r="P10" i="13"/>
  <c r="P14" i="13"/>
  <c r="P12" i="13"/>
  <c r="P6" i="13"/>
  <c r="P27" i="13"/>
  <c r="D6" i="1"/>
  <c r="P21" i="13"/>
  <c r="P20" i="13"/>
  <c r="P17" i="13"/>
  <c r="P7" i="13"/>
  <c r="P22" i="13"/>
  <c r="P19" i="13"/>
  <c r="P8" i="13"/>
  <c r="P9" i="13"/>
  <c r="P16" i="13"/>
  <c r="P24" i="13"/>
  <c r="P23" i="13"/>
  <c r="P13" i="13"/>
  <c r="P11" i="13"/>
  <c r="P18" i="13"/>
  <c r="P5" i="13"/>
  <c r="P15" i="13"/>
  <c r="P25" i="13"/>
  <c r="P27" i="17" l="1"/>
  <c r="D9" i="1"/>
  <c r="P24" i="14"/>
  <c r="P8" i="14"/>
  <c r="P5" i="14"/>
  <c r="P23" i="14"/>
  <c r="P11" i="14"/>
  <c r="P13" i="14"/>
  <c r="P18" i="14"/>
  <c r="P6" i="14"/>
  <c r="P9" i="14"/>
  <c r="P20" i="14"/>
  <c r="P17" i="14"/>
  <c r="P10" i="14"/>
  <c r="P22" i="14"/>
  <c r="P14" i="14"/>
  <c r="P7" i="14"/>
  <c r="P21" i="14"/>
  <c r="P16" i="14"/>
  <c r="P27" i="14"/>
  <c r="P15" i="14"/>
  <c r="P19" i="14"/>
  <c r="P12" i="14"/>
  <c r="P25" i="14"/>
  <c r="P27" i="16"/>
  <c r="P26" i="16"/>
  <c r="P6" i="16"/>
  <c r="P25" i="16"/>
  <c r="P21" i="16"/>
  <c r="P17" i="16"/>
  <c r="P13" i="16"/>
  <c r="P8" i="16"/>
  <c r="P24" i="16"/>
  <c r="P20" i="16"/>
  <c r="P16" i="16"/>
  <c r="P12" i="16"/>
  <c r="P9" i="16"/>
  <c r="P5" i="16"/>
  <c r="P23" i="16"/>
  <c r="P19" i="16"/>
  <c r="P15" i="16"/>
  <c r="P10" i="16"/>
  <c r="P22" i="16"/>
  <c r="P18" i="16"/>
  <c r="P14" i="16"/>
  <c r="P11" i="16"/>
  <c r="P7" i="16"/>
</calcChain>
</file>

<file path=xl/sharedStrings.xml><?xml version="1.0" encoding="utf-8"?>
<sst xmlns="http://schemas.openxmlformats.org/spreadsheetml/2006/main" count="733" uniqueCount="84">
  <si>
    <t>ที่</t>
  </si>
  <si>
    <t>หน่วยงาน</t>
  </si>
  <si>
    <t>ทองอินทริ์</t>
  </si>
  <si>
    <t>ท่าลี่</t>
  </si>
  <si>
    <t>ผาสุก</t>
  </si>
  <si>
    <t>เมืองพรึก(แชแล)</t>
  </si>
  <si>
    <t>เวียงคำ</t>
  </si>
  <si>
    <t>สีออ(ศรีสว่างพัฒนา)</t>
  </si>
  <si>
    <t>เสอเพลอ(สงเปลือย)</t>
  </si>
  <si>
    <t>หินฮาว</t>
  </si>
  <si>
    <t>เหล่าสีเสียด</t>
  </si>
  <si>
    <t>เหล่าหมากจันทร์</t>
  </si>
  <si>
    <t>บุ่งหมากลาน</t>
  </si>
  <si>
    <t>ปะโค</t>
  </si>
  <si>
    <t>หนองหว้า(ห้วยบง)</t>
  </si>
  <si>
    <t>ห้วยเกิ้ง</t>
  </si>
  <si>
    <t>รพ.ห้วยเกิ้ง</t>
  </si>
  <si>
    <t>รพ.ประจักษ์ศิลปาคม</t>
  </si>
  <si>
    <t>PCC   พันดอน</t>
  </si>
  <si>
    <t>PCC  เชียงแหว</t>
  </si>
  <si>
    <t>PCC บ้านผือ</t>
  </si>
  <si>
    <t>PCC  กุมภวาปี</t>
  </si>
  <si>
    <t>รวมรพสต. Cup กุมภวาปี</t>
  </si>
  <si>
    <t>รวมรพ. เครือข่าย</t>
  </si>
  <si>
    <t>20+21</t>
  </si>
  <si>
    <t>รวมเบิกทั้ง หมด</t>
  </si>
  <si>
    <t>1-21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</si>
  <si>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</si>
  <si>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</si>
  <si>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</si>
  <si>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</si>
  <si>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</si>
  <si>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</si>
  <si>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</si>
  <si>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</si>
  <si>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</si>
  <si>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</si>
  <si>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</si>
  <si>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</si>
  <si>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เบิกแล้ว</t>
  </si>
  <si>
    <t>ยอดเบิกเทียบกับการเบิกทั้งหมดของอำเภอ(%)</t>
  </si>
  <si>
    <t xml:space="preserve">รายงานเบิก  ยาทั่วไป  ของหน่วยงานต่างๆในCUPกุมภวาปี </t>
  </si>
  <si>
    <t xml:space="preserve">รายงานเบิก  ยาทั้งหมด  รวมวัคซีน  ของหน่วยงานต่างๆในCUPกุมภวาปี </t>
  </si>
  <si>
    <t xml:space="preserve">รายงานเบิก  ยาทั้งหมด   ( ไม่รวมวัคซีน ) ของหน่วยงานต่างๆในCUPกุมภวาปี </t>
  </si>
  <si>
    <t xml:space="preserve">รายงานเบิก  ยาทั้งหมด  (ไม่รวมวัคซีน) +วชยทุกประเภท ของหน่วยงานต่างๆในCUPกุมภวาปี </t>
  </si>
  <si>
    <t xml:space="preserve">รายงานเบิก  วชย ทุกประเภท( วสด.การแพทย์ + สนง +งานบ้าน+ dent+ LAB +เภสัช)  ของหน่วยงานต่างๆในCUPกุมภวาปี </t>
  </si>
  <si>
    <t>ข้อมูลรายงาน ประจำเดือน</t>
  </si>
  <si>
    <t xml:space="preserve">สรุปมูลค่าการเบิก     ยา+วชย. ของหน่วยงานต่างๆ cup  กุมภวาปี  </t>
  </si>
  <si>
    <t xml:space="preserve"> ปีงบประมาณ   2561</t>
  </si>
  <si>
    <t>.............................</t>
  </si>
  <si>
    <t>………………………………</t>
  </si>
  <si>
    <t xml:space="preserve"> (นางสาววิภาดา แสนศิลา)</t>
  </si>
  <si>
    <t xml:space="preserve">  (ภญ.พรพรหม ศรีวงศา )</t>
  </si>
  <si>
    <t xml:space="preserve">     ผู้จัดทำ</t>
  </si>
  <si>
    <t>เภสัชกรชำนาญการ</t>
  </si>
  <si>
    <t>19+20</t>
  </si>
  <si>
    <t>ปีงบประมาน 2561</t>
  </si>
  <si>
    <t xml:space="preserve">รายงานเบิก เรื้องรัง 25%  ของหน่วยงานต่างๆในCUPกุมภวาปี </t>
  </si>
  <si>
    <t xml:space="preserve">รายงานเบิก  วัสดุการแพทย์  ของหน่วยงานต่างๆในCUPกุมภวาปี </t>
  </si>
  <si>
    <t xml:space="preserve">รายงานเบิก  วัสดุสำนักงาน  ของหน่วยงานต่างๆในCUPกุมภวาปี </t>
  </si>
  <si>
    <t xml:space="preserve">รายงานเบิก  วัสดุงานบ้าน  ของหน่วยงานต่างๆในCUPกุมภวาปี </t>
  </si>
  <si>
    <t xml:space="preserve">รายงานเบิก  วัสดุแลป  ของหน่วยงานต่างๆในCUPกุมภวาปี </t>
  </si>
  <si>
    <t xml:space="preserve">รายงานเบิก  วัสดุทันตกรรม  ของหน่วยงานต่างๆในCUPกุมภวาปี </t>
  </si>
  <si>
    <t xml:space="preserve">รายงานเบิก  วัสดุเภสัช  ของหน่วยงานต่างๆในCUPกุมภวาปี </t>
  </si>
  <si>
    <t xml:space="preserve">รายงานเบิก  ยาแพทย์ PCC  ของหน่วยงานต่างๆในCUPกุมภวาปี </t>
  </si>
  <si>
    <t xml:space="preserve">รายงานเบิก  ยาโรคเรื้อรังฟรี  ของหน่วยงานต่างๆในCUPกุมภวาปี </t>
  </si>
  <si>
    <t xml:space="preserve">รายงานเบิก วัคซีน ของหน่วยงานต่างๆในCUPกุมภวาปี </t>
  </si>
  <si>
    <t xml:space="preserve">  1:18</t>
  </si>
  <si>
    <t>1-20</t>
  </si>
  <si>
    <t xml:space="preserve"> 1:18</t>
  </si>
  <si>
    <t xml:space="preserve"> 1:20</t>
  </si>
  <si>
    <t>19 +20</t>
  </si>
  <si>
    <t>...........................................................</t>
  </si>
  <si>
    <t>..................................................</t>
  </si>
  <si>
    <t>.........................................................</t>
  </si>
  <si>
    <t>มูลค่าเบิกยาทั้งหมด....ไม่รวมวัคซีน</t>
  </si>
  <si>
    <t>มูลค่าเบิกยาทั้งหมด.....รวมวัคซีน</t>
  </si>
  <si>
    <t>***หน้านี้รายงานเป็นข้อมูลรวม  ตั้งแต่ต้นปีงบประมาณ..จนถึง..เดือนที่รายงาน***</t>
  </si>
  <si>
    <t>จากคลังยา    กลุ่มงานเภสัชกรรม     โรงพยาบาลกุมภวาปี</t>
  </si>
  <si>
    <t>รวมเบิกทุกประเภท(2+3)</t>
  </si>
  <si>
    <t>มูลค่าเบิก วชย.ทั้งหมด                                                          (วสด.การแพทย์+สนง+งานบ้าน + Dent+ LAB +เภสัช )</t>
  </si>
  <si>
    <t>................................................</t>
  </si>
  <si>
    <t xml:space="preserve">รายงานข้อมูลณ วันที่ 28/9/61 </t>
  </si>
  <si>
    <t>โรงพยาบาลห้วยเกิ้ง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</si>
</sst>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[$-107041E]d\ mmm\ yy;@"/>
    <numFmt numFmtId="188" formatCode="_-* #,##0_-;\-* #,##0_-;_-* &quot;-&quot;??_-;_-@_-"/>
    <numFmt numFmtId="189" formatCode="#,##0.00_ ;\-#,##0.00&quot; &quot;"/>
  </numFmts>
  <fonts count="38" x14ac:knownFonts="1">
    <font>
      <sz val="11"/>
      <color theme="1"/>
      <name val="Tahoma"/>
      <family val="2"/>
      <charset val="222"/>
      <scheme val="minor"/>
    </font>
    <font>
      <sz val="16"/>
      <name val="AngsanaUPC"/>
      <family val="1"/>
      <charset val="222"/>
    </font>
    <font>
      <b/>
      <sz val="16"/>
      <name val="AngsanaUPC"/>
      <family val="1"/>
    </font>
    <font>
      <sz val="16"/>
      <color theme="1"/>
      <name val="AngsanaUPC"/>
      <family val="1"/>
    </font>
    <font>
      <sz val="14"/>
      <name val="AngsanaUPC"/>
      <family val="1"/>
    </font>
    <font>
      <sz val="14"/>
      <color indexed="12"/>
      <name val="AngsanaUPC"/>
      <family val="1"/>
    </font>
    <font>
      <b/>
      <sz val="16"/>
      <color theme="1"/>
      <name val="AngsanaUPC"/>
      <family val="1"/>
    </font>
    <font>
      <b/>
      <sz val="18"/>
      <name val="AngsanaUPC"/>
      <family val="1"/>
    </font>
    <font>
      <sz val="16"/>
      <name val="AngsanaUPC"/>
      <family val="1"/>
    </font>
    <font>
      <sz val="16"/>
      <color indexed="10"/>
      <name val="AngsanaUPC"/>
      <family val="1"/>
    </font>
    <font>
      <b/>
      <sz val="14"/>
      <name val="AngsanaUPC"/>
      <family val="1"/>
    </font>
    <font>
      <sz val="11"/>
      <color theme="1"/>
      <name val="Tahoma"/>
      <family val="2"/>
      <charset val="222"/>
      <scheme val="minor"/>
    </font>
    <font>
      <sz val="14"/>
      <color theme="1"/>
      <name val="AngsanaUPC"/>
      <family val="1"/>
    </font>
    <font>
      <b/>
      <sz val="14"/>
      <color theme="1"/>
      <name val="AngsanaUPC"/>
      <family val="1"/>
    </font>
    <font>
      <sz val="14"/>
      <color indexed="10"/>
      <name val="AngsanaUPC"/>
      <family val="1"/>
    </font>
    <font>
      <b/>
      <sz val="16"/>
      <color rgb="FF0070C0"/>
      <name val="AngsanaUPC"/>
      <family val="1"/>
    </font>
    <font>
      <b/>
      <sz val="16"/>
      <color rgb="FFFF0000"/>
      <name val="AngsanaUPC"/>
      <family val="1"/>
    </font>
    <font>
      <b/>
      <sz val="14"/>
      <color rgb="FF0000FF"/>
      <name val="AngsanaUPC"/>
      <family val="1"/>
    </font>
    <font>
      <sz val="16"/>
      <color indexed="12"/>
      <name val="AngsanaUPC"/>
      <family val="1"/>
    </font>
    <font>
      <b/>
      <sz val="14"/>
      <color indexed="17"/>
      <name val="AngsanaUPC"/>
      <family val="1"/>
    </font>
    <font>
      <b/>
      <sz val="18"/>
      <color rgb="FF006600"/>
      <name val="AngsanaUPC"/>
      <family val="1"/>
    </font>
    <font>
      <b/>
      <sz val="18"/>
      <color rgb="FF0000FF"/>
      <name val="AngsanaUPC"/>
      <family val="1"/>
    </font>
    <font>
      <b/>
      <sz val="16"/>
      <color rgb="FF0000FF"/>
      <name val="AngsanaUPC"/>
      <family val="1"/>
    </font>
    <font>
      <b/>
      <sz val="20"/>
      <color theme="1"/>
      <name val="AngsanaUPC"/>
      <family val="1"/>
    </font>
    <font>
      <sz val="14"/>
      <color rgb="FF0000FF"/>
      <name val="AngsanaUPC"/>
      <family val="1"/>
    </font>
    <font>
      <b/>
      <sz val="20"/>
      <name val="AngsanaUPC"/>
      <family val="1"/>
    </font>
    <font>
      <b/>
      <sz val="20"/>
      <color rgb="FFFF0000"/>
      <name val="AngsanaUPC"/>
      <family val="1"/>
    </font>
    <font>
      <b/>
      <sz val="20"/>
      <color rgb="FF0000FF"/>
      <name val="AngsanaUPC"/>
      <family val="1"/>
    </font>
    <font>
      <b/>
      <sz val="22"/>
      <color rgb="FF0000FF"/>
      <name val="AngsanaUPC"/>
      <family val="1"/>
    </font>
    <font>
      <b/>
      <u val="double"/>
      <sz val="20"/>
      <name val="AngsanaUPC"/>
      <family val="1"/>
    </font>
    <font>
      <b/>
      <sz val="18"/>
      <color rgb="FFFF0000"/>
      <name val="AngsanaUPC"/>
      <family val="1"/>
    </font>
    <font>
      <b/>
      <sz val="18"/>
      <color rgb="FFC00000"/>
      <name val="AngsanaUPC"/>
      <family val="1"/>
    </font>
    <font>
      <b/>
      <sz val="14"/>
      <color rgb="FFFF0000"/>
      <name val="AngsanaUPC"/>
      <family val="1"/>
    </font>
    <font>
      <sz val="14"/>
      <color rgb="FFFF0000"/>
      <name val="AngsanaUPC"/>
      <family val="1"/>
    </font>
    <font>
      <b/>
      <sz val="10"/>
      <color rgb="FFFF0000"/>
      <name val="AngsanaUPC"/>
      <family val="1"/>
    </font>
    <font>
      <sz val="16"/>
      <color rgb="FFFF0000"/>
      <name val="AngsanaUPC"/>
      <family val="1"/>
    </font>
    <font>
      <sz val="12"/>
      <color rgb="FFFF0000"/>
      <name val="AngsanaUPC"/>
      <family val="1"/>
    </font>
    <font>
      <b/>
      <sz val="11"/>
      <color rgb="FFFF0000"/>
      <name val="AngsanaUPC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365">
    <xf numFmtId="0" fontId="0" fillId="0" borderId="0" xfId="0"/>
    <xf numFmtId="0" fontId="3" fillId="0" borderId="0" xfId="0" applyFont="1"/>
    <xf numFmtId="4" fontId="4" fillId="0" borderId="0" xfId="1" applyNumberFormat="1" applyFont="1" applyAlignment="1" applyProtection="1">
      <alignment vertical="center"/>
      <protection locked="0"/>
    </xf>
    <xf numFmtId="4" fontId="4" fillId="0" borderId="0" xfId="1" applyNumberFormat="1" applyFont="1" applyAlignment="1" applyProtection="1">
      <alignment horizontal="center" vertical="center"/>
      <protection locked="0"/>
    </xf>
    <xf numFmtId="4" fontId="5" fillId="0" borderId="0" xfId="1" applyNumberFormat="1" applyFont="1" applyAlignment="1" applyProtection="1">
      <alignment vertical="center"/>
      <protection locked="0"/>
    </xf>
    <xf numFmtId="0" fontId="8" fillId="0" borderId="1" xfId="1" applyNumberFormat="1" applyFont="1" applyFill="1" applyBorder="1" applyAlignment="1" applyProtection="1">
      <alignment horizontal="center" vertical="center" shrinkToFit="1"/>
    </xf>
    <xf numFmtId="0" fontId="9" fillId="0" borderId="1" xfId="1" applyNumberFormat="1" applyFont="1" applyFill="1" applyBorder="1" applyAlignment="1" applyProtection="1">
      <alignment horizontal="center" vertical="center" shrinkToFit="1"/>
    </xf>
    <xf numFmtId="4" fontId="4" fillId="0" borderId="0" xfId="1" applyNumberFormat="1" applyFont="1" applyAlignment="1" applyProtection="1">
      <alignment horizontal="left" vertical="center"/>
      <protection locked="0"/>
    </xf>
    <xf numFmtId="4" fontId="5" fillId="0" borderId="0" xfId="1" applyNumberFormat="1" applyFont="1" applyAlignment="1" applyProtection="1">
      <alignment horizontal="center" vertical="center"/>
      <protection locked="0"/>
    </xf>
    <xf numFmtId="4" fontId="10" fillId="0" borderId="0" xfId="1" applyNumberFormat="1" applyFont="1" applyAlignment="1" applyProtection="1">
      <alignment horizontal="center" vertical="center"/>
      <protection locked="0"/>
    </xf>
    <xf numFmtId="4" fontId="10" fillId="0" borderId="0" xfId="1" applyNumberFormat="1" applyFont="1" applyAlignment="1" applyProtection="1">
      <alignment horizontal="left" vertical="center"/>
      <protection locked="0"/>
    </xf>
    <xf numFmtId="4" fontId="10" fillId="0" borderId="0" xfId="1" applyNumberFormat="1" applyFont="1" applyAlignment="1" applyProtection="1">
      <alignment vertical="center"/>
      <protection locked="0"/>
    </xf>
    <xf numFmtId="4" fontId="10" fillId="0" borderId="0" xfId="1" applyNumberFormat="1" applyFont="1" applyBorder="1" applyAlignment="1" applyProtection="1">
      <alignment horizontal="left" vertical="center"/>
      <protection locked="0"/>
    </xf>
    <xf numFmtId="4" fontId="10" fillId="0" borderId="0" xfId="1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/>
    <xf numFmtId="4" fontId="4" fillId="0" borderId="0" xfId="1" applyNumberFormat="1" applyFont="1" applyAlignment="1" applyProtection="1">
      <alignment horizontal="center"/>
      <protection locked="0"/>
    </xf>
    <xf numFmtId="4" fontId="4" fillId="0" borderId="0" xfId="1" applyNumberFormat="1" applyFont="1" applyAlignment="1" applyProtection="1">
      <alignment horizontal="left"/>
      <protection locked="0"/>
    </xf>
    <xf numFmtId="4" fontId="4" fillId="0" borderId="0" xfId="1" applyNumberFormat="1" applyFont="1" applyAlignment="1" applyProtection="1">
      <protection locked="0"/>
    </xf>
    <xf numFmtId="4" fontId="5" fillId="0" borderId="0" xfId="1" applyNumberFormat="1" applyFont="1" applyAlignment="1" applyProtection="1">
      <alignment horizontal="center"/>
      <protection locked="0"/>
    </xf>
    <xf numFmtId="4" fontId="5" fillId="0" borderId="0" xfId="1" applyNumberFormat="1" applyFont="1" applyAlignment="1" applyProtection="1">
      <protection locked="0"/>
    </xf>
    <xf numFmtId="0" fontId="3" fillId="0" borderId="0" xfId="0" applyFont="1" applyAlignment="1">
      <alignment vertical="center"/>
    </xf>
    <xf numFmtId="43" fontId="3" fillId="0" borderId="0" xfId="2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4" fontId="4" fillId="0" borderId="0" xfId="1" applyNumberFormat="1" applyFont="1" applyAlignment="1" applyProtection="1">
      <alignment horizontal="right" vertical="center"/>
      <protection locked="0"/>
    </xf>
    <xf numFmtId="4" fontId="5" fillId="0" borderId="0" xfId="1" applyNumberFormat="1" applyFont="1" applyAlignment="1" applyProtection="1">
      <alignment horizontal="right" vertical="center"/>
      <protection locked="0"/>
    </xf>
    <xf numFmtId="0" fontId="4" fillId="0" borderId="1" xfId="1" applyNumberFormat="1" applyFont="1" applyFill="1" applyBorder="1" applyAlignment="1" applyProtection="1">
      <alignment horizontal="center" vertical="center" shrinkToFit="1"/>
    </xf>
    <xf numFmtId="4" fontId="12" fillId="0" borderId="1" xfId="1" applyNumberFormat="1" applyFont="1" applyFill="1" applyBorder="1" applyAlignment="1" applyProtection="1">
      <alignment horizontal="left" vertical="center" shrinkToFit="1"/>
    </xf>
    <xf numFmtId="0" fontId="12" fillId="0" borderId="0" xfId="0" applyFont="1" applyAlignment="1">
      <alignment vertical="center"/>
    </xf>
    <xf numFmtId="4" fontId="12" fillId="0" borderId="1" xfId="1" applyNumberFormat="1" applyFont="1" applyFill="1" applyBorder="1" applyAlignment="1" applyProtection="1">
      <alignment vertical="center" shrinkToFit="1"/>
    </xf>
    <xf numFmtId="1" fontId="12" fillId="0" borderId="1" xfId="1" applyNumberFormat="1" applyFont="1" applyFill="1" applyBorder="1" applyAlignment="1" applyProtection="1">
      <alignment vertical="center" shrinkToFit="1"/>
    </xf>
    <xf numFmtId="0" fontId="14" fillId="0" borderId="1" xfId="1" applyNumberFormat="1" applyFont="1" applyFill="1" applyBorder="1" applyAlignment="1" applyProtection="1">
      <alignment horizontal="center" vertical="center" shrinkToFit="1"/>
    </xf>
    <xf numFmtId="43" fontId="12" fillId="0" borderId="1" xfId="1" applyNumberFormat="1" applyFont="1" applyFill="1" applyBorder="1" applyAlignment="1" applyProtection="1">
      <alignment horizontal="left" vertical="center" shrinkToFit="1"/>
    </xf>
    <xf numFmtId="0" fontId="4" fillId="4" borderId="1" xfId="1" applyNumberFormat="1" applyFont="1" applyFill="1" applyBorder="1" applyAlignment="1" applyProtection="1">
      <alignment horizontal="center" vertical="center" shrinkToFit="1"/>
    </xf>
    <xf numFmtId="4" fontId="12" fillId="4" borderId="1" xfId="1" applyNumberFormat="1" applyFont="1" applyFill="1" applyBorder="1" applyAlignment="1" applyProtection="1">
      <alignment vertical="center" shrinkToFit="1"/>
    </xf>
    <xf numFmtId="4" fontId="3" fillId="0" borderId="1" xfId="1" applyNumberFormat="1" applyFont="1" applyFill="1" applyBorder="1" applyAlignment="1" applyProtection="1">
      <alignment vertical="center" shrinkToFit="1"/>
    </xf>
    <xf numFmtId="4" fontId="12" fillId="0" borderId="1" xfId="2" applyNumberFormat="1" applyFont="1" applyBorder="1" applyAlignment="1">
      <alignment horizontal="right" vertical="center" shrinkToFit="1"/>
    </xf>
    <xf numFmtId="4" fontId="12" fillId="0" borderId="1" xfId="0" applyNumberFormat="1" applyFont="1" applyBorder="1" applyAlignment="1">
      <alignment horizontal="right" vertical="center" shrinkToFit="1"/>
    </xf>
    <xf numFmtId="4" fontId="12" fillId="4" borderId="1" xfId="0" applyNumberFormat="1" applyFont="1" applyFill="1" applyBorder="1" applyAlignment="1">
      <alignment horizontal="right" vertical="center" shrinkToFit="1"/>
    </xf>
    <xf numFmtId="0" fontId="3" fillId="0" borderId="0" xfId="0" applyFont="1" applyAlignment="1">
      <alignment horizontal="center" vertical="center"/>
    </xf>
    <xf numFmtId="43" fontId="3" fillId="0" borderId="0" xfId="2" applyFont="1" applyAlignment="1">
      <alignment horizontal="center" vertical="center"/>
    </xf>
    <xf numFmtId="4" fontId="12" fillId="2" borderId="1" xfId="0" applyNumberFormat="1" applyFont="1" applyFill="1" applyBorder="1" applyAlignment="1">
      <alignment horizontal="right" vertical="center" shrinkToFit="1"/>
    </xf>
    <xf numFmtId="4" fontId="13" fillId="2" borderId="1" xfId="0" applyNumberFormat="1" applyFont="1" applyFill="1" applyBorder="1" applyAlignment="1">
      <alignment horizontal="right" vertical="center" shrinkToFit="1"/>
    </xf>
    <xf numFmtId="4" fontId="13" fillId="4" borderId="1" xfId="0" applyNumberFormat="1" applyFont="1" applyFill="1" applyBorder="1" applyAlignment="1">
      <alignment horizontal="right" vertical="center" shrinkToFit="1"/>
    </xf>
    <xf numFmtId="0" fontId="4" fillId="2" borderId="1" xfId="1" applyNumberFormat="1" applyFont="1" applyFill="1" applyBorder="1" applyAlignment="1" applyProtection="1">
      <alignment horizontal="center" vertical="center" shrinkToFit="1"/>
    </xf>
    <xf numFmtId="4" fontId="12" fillId="2" borderId="1" xfId="1" applyNumberFormat="1" applyFont="1" applyFill="1" applyBorder="1" applyAlignment="1" applyProtection="1">
      <alignment vertical="center" shrinkToFit="1"/>
    </xf>
    <xf numFmtId="20" fontId="10" fillId="4" borderId="1" xfId="1" applyNumberFormat="1" applyFont="1" applyFill="1" applyBorder="1" applyAlignment="1" applyProtection="1">
      <alignment horizontal="center" vertical="center" shrinkToFit="1"/>
    </xf>
    <xf numFmtId="4" fontId="13" fillId="4" borderId="1" xfId="1" applyNumberFormat="1" applyFont="1" applyFill="1" applyBorder="1" applyAlignment="1" applyProtection="1">
      <alignment vertical="center" shrinkToFit="1"/>
    </xf>
    <xf numFmtId="4" fontId="13" fillId="4" borderId="1" xfId="2" applyNumberFormat="1" applyFont="1" applyFill="1" applyBorder="1" applyAlignment="1">
      <alignment horizontal="right" vertical="center" shrinkToFit="1"/>
    </xf>
    <xf numFmtId="0" fontId="13" fillId="0" borderId="0" xfId="0" applyFont="1" applyAlignment="1">
      <alignment vertical="center"/>
    </xf>
    <xf numFmtId="0" fontId="10" fillId="2" borderId="1" xfId="1" applyNumberFormat="1" applyFont="1" applyFill="1" applyBorder="1" applyAlignment="1" applyProtection="1">
      <alignment horizontal="center" vertical="center" shrinkToFit="1"/>
    </xf>
    <xf numFmtId="4" fontId="13" fillId="2" borderId="1" xfId="1" applyNumberFormat="1" applyFont="1" applyFill="1" applyBorder="1" applyAlignment="1" applyProtection="1">
      <alignment vertical="center" shrinkToFit="1"/>
    </xf>
    <xf numFmtId="4" fontId="13" fillId="2" borderId="1" xfId="2" applyNumberFormat="1" applyFont="1" applyFill="1" applyBorder="1" applyAlignment="1">
      <alignment horizontal="right" vertical="center" shrinkToFit="1"/>
    </xf>
    <xf numFmtId="0" fontId="6" fillId="0" borderId="0" xfId="0" applyFont="1" applyAlignment="1">
      <alignment vertical="center"/>
    </xf>
    <xf numFmtId="4" fontId="17" fillId="4" borderId="1" xfId="0" applyNumberFormat="1" applyFont="1" applyFill="1" applyBorder="1" applyAlignment="1">
      <alignment horizontal="right" vertical="center" shrinkToFit="1"/>
    </xf>
    <xf numFmtId="0" fontId="17" fillId="4" borderId="1" xfId="0" applyFont="1" applyFill="1" applyBorder="1" applyAlignment="1">
      <alignment horizontal="right" vertical="center" shrinkToFit="1"/>
    </xf>
    <xf numFmtId="0" fontId="17" fillId="0" borderId="0" xfId="0" applyFont="1" applyAlignment="1">
      <alignment vertical="center"/>
    </xf>
    <xf numFmtId="4" fontId="8" fillId="0" borderId="0" xfId="1" applyNumberFormat="1" applyFont="1" applyAlignment="1" applyProtection="1">
      <alignment horizontal="center" vertical="center"/>
      <protection locked="0"/>
    </xf>
    <xf numFmtId="4" fontId="8" fillId="0" borderId="0" xfId="1" applyNumberFormat="1" applyFont="1" applyAlignment="1" applyProtection="1">
      <alignment vertical="center"/>
      <protection locked="0"/>
    </xf>
    <xf numFmtId="4" fontId="18" fillId="0" borderId="0" xfId="1" applyNumberFormat="1" applyFont="1" applyAlignment="1" applyProtection="1">
      <alignment horizontal="center" vertical="center"/>
      <protection locked="0"/>
    </xf>
    <xf numFmtId="4" fontId="18" fillId="0" borderId="0" xfId="1" applyNumberFormat="1" applyFont="1" applyAlignment="1" applyProtection="1">
      <alignment vertical="center"/>
      <protection locked="0"/>
    </xf>
    <xf numFmtId="10" fontId="19" fillId="0" borderId="0" xfId="1" applyNumberFormat="1" applyFont="1" applyAlignment="1" applyProtection="1">
      <alignment vertical="center"/>
      <protection locked="0"/>
    </xf>
    <xf numFmtId="0" fontId="12" fillId="0" borderId="0" xfId="0" applyFont="1"/>
    <xf numFmtId="0" fontId="12" fillId="0" borderId="0" xfId="0" applyFont="1" applyAlignment="1">
      <alignment horizontal="center"/>
    </xf>
    <xf numFmtId="4" fontId="12" fillId="0" borderId="1" xfId="1" applyNumberFormat="1" applyFont="1" applyFill="1" applyBorder="1" applyAlignment="1" applyProtection="1">
      <alignment horizontal="center" vertical="center" shrinkToFit="1"/>
    </xf>
    <xf numFmtId="4" fontId="4" fillId="0" borderId="1" xfId="1" applyNumberFormat="1" applyFont="1" applyFill="1" applyBorder="1" applyAlignment="1" applyProtection="1">
      <alignment horizontal="center" vertical="center" shrinkToFit="1"/>
    </xf>
    <xf numFmtId="1" fontId="21" fillId="0" borderId="0" xfId="1" applyNumberFormat="1" applyFont="1" applyAlignment="1" applyProtection="1">
      <alignment vertical="center" shrinkToFit="1"/>
      <protection locked="0"/>
    </xf>
    <xf numFmtId="4" fontId="21" fillId="0" borderId="0" xfId="1" applyNumberFormat="1" applyFont="1" applyAlignment="1" applyProtection="1">
      <alignment vertical="center"/>
      <protection locked="0"/>
    </xf>
    <xf numFmtId="43" fontId="22" fillId="0" borderId="0" xfId="2" applyFont="1" applyAlignment="1" applyProtection="1">
      <alignment vertical="center"/>
      <protection locked="0"/>
    </xf>
    <xf numFmtId="4" fontId="22" fillId="0" borderId="0" xfId="1" applyNumberFormat="1" applyFont="1" applyAlignment="1" applyProtection="1">
      <alignment vertical="center"/>
      <protection locked="0"/>
    </xf>
    <xf numFmtId="10" fontId="21" fillId="0" borderId="0" xfId="1" applyNumberFormat="1" applyFont="1" applyAlignment="1" applyProtection="1">
      <alignment vertical="center"/>
      <protection locked="0"/>
    </xf>
    <xf numFmtId="4" fontId="22" fillId="0" borderId="0" xfId="1" applyNumberFormat="1" applyFont="1" applyBorder="1" applyAlignment="1" applyProtection="1">
      <alignment vertical="center"/>
      <protection locked="0"/>
    </xf>
    <xf numFmtId="187" fontId="21" fillId="0" borderId="0" xfId="1" applyNumberFormat="1" applyFont="1" applyAlignment="1" applyProtection="1">
      <alignment vertical="center"/>
      <protection locked="0"/>
    </xf>
    <xf numFmtId="0" fontId="15" fillId="0" borderId="1" xfId="1" applyNumberFormat="1" applyFont="1" applyFill="1" applyBorder="1" applyAlignment="1" applyProtection="1">
      <alignment horizontal="center" vertical="center" shrinkToFit="1"/>
    </xf>
    <xf numFmtId="4" fontId="15" fillId="0" borderId="1" xfId="1" applyNumberFormat="1" applyFont="1" applyFill="1" applyBorder="1" applyAlignment="1" applyProtection="1">
      <alignment horizontal="center" vertical="center" shrinkToFit="1"/>
    </xf>
    <xf numFmtId="43" fontId="15" fillId="0" borderId="1" xfId="2" applyFont="1" applyFill="1" applyBorder="1" applyAlignment="1" applyProtection="1">
      <alignment horizontal="center" vertical="center" shrinkToFit="1"/>
    </xf>
    <xf numFmtId="0" fontId="15" fillId="0" borderId="0" xfId="0" applyFont="1" applyAlignment="1">
      <alignment horizontal="center" vertical="center"/>
    </xf>
    <xf numFmtId="0" fontId="22" fillId="0" borderId="1" xfId="1" applyNumberFormat="1" applyFont="1" applyFill="1" applyBorder="1" applyAlignment="1" applyProtection="1">
      <alignment horizontal="center" vertical="center" shrinkToFit="1"/>
    </xf>
    <xf numFmtId="4" fontId="22" fillId="0" borderId="1" xfId="1" applyNumberFormat="1" applyFont="1" applyFill="1" applyBorder="1" applyAlignment="1" applyProtection="1">
      <alignment horizontal="center" vertical="center" shrinkToFit="1"/>
    </xf>
    <xf numFmtId="4" fontId="22" fillId="0" borderId="1" xfId="1" applyNumberFormat="1" applyFont="1" applyFill="1" applyBorder="1" applyAlignment="1" applyProtection="1">
      <alignment vertical="center" shrinkToFit="1"/>
    </xf>
    <xf numFmtId="0" fontId="22" fillId="0" borderId="0" xfId="0" applyFont="1" applyAlignment="1">
      <alignment horizontal="center"/>
    </xf>
    <xf numFmtId="1" fontId="22" fillId="0" borderId="0" xfId="1" applyNumberFormat="1" applyFont="1" applyAlignment="1" applyProtection="1">
      <alignment horizontal="center" vertical="center" shrinkToFit="1"/>
      <protection locked="0"/>
    </xf>
    <xf numFmtId="4" fontId="22" fillId="0" borderId="0" xfId="1" applyNumberFormat="1" applyFont="1" applyAlignment="1" applyProtection="1">
      <alignment horizontal="left" vertical="center"/>
      <protection locked="0"/>
    </xf>
    <xf numFmtId="4" fontId="22" fillId="0" borderId="0" xfId="1" applyNumberFormat="1" applyFont="1" applyAlignment="1" applyProtection="1">
      <alignment horizontal="center" vertical="center"/>
      <protection locked="0"/>
    </xf>
    <xf numFmtId="10" fontId="22" fillId="0" borderId="0" xfId="1" applyNumberFormat="1" applyFont="1" applyAlignment="1" applyProtection="1">
      <alignment vertical="center"/>
      <protection locked="0"/>
    </xf>
    <xf numFmtId="4" fontId="22" fillId="0" borderId="0" xfId="1" applyNumberFormat="1" applyFont="1" applyBorder="1" applyAlignment="1" applyProtection="1">
      <alignment horizontal="left" vertical="center"/>
      <protection locked="0"/>
    </xf>
    <xf numFmtId="4" fontId="22" fillId="0" borderId="0" xfId="1" applyNumberFormat="1" applyFont="1" applyBorder="1" applyAlignment="1" applyProtection="1">
      <alignment horizontal="right" vertical="center"/>
      <protection locked="0"/>
    </xf>
    <xf numFmtId="1" fontId="21" fillId="0" borderId="0" xfId="1" applyNumberFormat="1" applyFont="1" applyAlignment="1" applyProtection="1">
      <alignment horizontal="center" vertical="center" shrinkToFit="1"/>
      <protection locked="0"/>
    </xf>
    <xf numFmtId="4" fontId="21" fillId="0" borderId="0" xfId="1" applyNumberFormat="1" applyFont="1" applyAlignment="1" applyProtection="1">
      <alignment horizontal="left" vertical="center"/>
      <protection locked="0"/>
    </xf>
    <xf numFmtId="4" fontId="21" fillId="0" borderId="0" xfId="1" applyNumberFormat="1" applyFont="1" applyAlignment="1" applyProtection="1">
      <alignment horizontal="center" vertical="center"/>
      <protection locked="0"/>
    </xf>
    <xf numFmtId="4" fontId="21" fillId="0" borderId="0" xfId="1" applyNumberFormat="1" applyFont="1" applyBorder="1" applyAlignment="1" applyProtection="1">
      <alignment horizontal="left" vertical="center"/>
      <protection locked="0"/>
    </xf>
    <xf numFmtId="4" fontId="21" fillId="0" borderId="0" xfId="1" applyNumberFormat="1" applyFont="1" applyBorder="1" applyAlignment="1" applyProtection="1">
      <alignment horizontal="right" vertical="center"/>
      <protection locked="0"/>
    </xf>
    <xf numFmtId="187" fontId="21" fillId="0" borderId="0" xfId="1" applyNumberFormat="1" applyFont="1" applyAlignment="1" applyProtection="1">
      <alignment horizontal="center" vertical="center"/>
      <protection locked="0"/>
    </xf>
    <xf numFmtId="4" fontId="3" fillId="0" borderId="1" xfId="0" applyNumberFormat="1" applyFont="1" applyBorder="1" applyAlignment="1">
      <alignment horizontal="right" vertical="center" shrinkToFit="1"/>
    </xf>
    <xf numFmtId="4" fontId="3" fillId="0" borderId="1" xfId="0" applyNumberFormat="1" applyFont="1" applyFill="1" applyBorder="1" applyAlignment="1">
      <alignment horizontal="right" vertical="center" shrinkToFit="1"/>
    </xf>
    <xf numFmtId="20" fontId="2" fillId="4" borderId="1" xfId="1" applyNumberFormat="1" applyFont="1" applyFill="1" applyBorder="1" applyAlignment="1" applyProtection="1">
      <alignment horizontal="center" vertical="center" shrinkToFit="1"/>
    </xf>
    <xf numFmtId="4" fontId="6" fillId="4" borderId="1" xfId="1" applyNumberFormat="1" applyFont="1" applyFill="1" applyBorder="1" applyAlignment="1" applyProtection="1">
      <alignment vertical="center" shrinkToFit="1"/>
    </xf>
    <xf numFmtId="4" fontId="6" fillId="4" borderId="1" xfId="0" applyNumberFormat="1" applyFont="1" applyFill="1" applyBorder="1" applyAlignment="1">
      <alignment horizontal="right" vertical="center" shrinkToFit="1"/>
    </xf>
    <xf numFmtId="0" fontId="2" fillId="2" borderId="1" xfId="1" applyNumberFormat="1" applyFont="1" applyFill="1" applyBorder="1" applyAlignment="1" applyProtection="1">
      <alignment horizontal="center" vertical="center" shrinkToFit="1"/>
    </xf>
    <xf numFmtId="4" fontId="6" fillId="2" borderId="1" xfId="1" applyNumberFormat="1" applyFont="1" applyFill="1" applyBorder="1" applyAlignment="1" applyProtection="1">
      <alignment vertical="center" shrinkToFit="1"/>
    </xf>
    <xf numFmtId="4" fontId="6" fillId="2" borderId="1" xfId="0" applyNumberFormat="1" applyFont="1" applyFill="1" applyBorder="1" applyAlignment="1">
      <alignment horizontal="right" vertical="center" shrinkToFit="1"/>
    </xf>
    <xf numFmtId="1" fontId="10" fillId="0" borderId="0" xfId="1" applyNumberFormat="1" applyFont="1" applyAlignment="1" applyProtection="1">
      <alignment horizontal="center" vertical="center" shrinkToFit="1"/>
      <protection locked="0"/>
    </xf>
    <xf numFmtId="4" fontId="13" fillId="0" borderId="0" xfId="1" applyNumberFormat="1" applyFont="1" applyAlignment="1" applyProtection="1">
      <alignment vertical="center"/>
      <protection locked="0"/>
    </xf>
    <xf numFmtId="43" fontId="10" fillId="0" borderId="0" xfId="2" applyFont="1" applyAlignment="1" applyProtection="1">
      <alignment horizontal="center" vertical="center"/>
      <protection locked="0"/>
    </xf>
    <xf numFmtId="43" fontId="10" fillId="0" borderId="0" xfId="2" applyFont="1" applyAlignment="1" applyProtection="1">
      <alignment horizontal="left" vertical="center"/>
      <protection locked="0"/>
    </xf>
    <xf numFmtId="43" fontId="10" fillId="0" borderId="0" xfId="2" applyFont="1" applyAlignment="1" applyProtection="1">
      <alignment vertical="center"/>
      <protection locked="0"/>
    </xf>
    <xf numFmtId="43" fontId="10" fillId="0" borderId="0" xfId="2" applyFont="1" applyBorder="1" applyAlignment="1" applyProtection="1">
      <alignment horizontal="left" vertical="center"/>
      <protection locked="0"/>
    </xf>
    <xf numFmtId="43" fontId="10" fillId="0" borderId="0" xfId="2" applyFont="1" applyBorder="1" applyAlignment="1" applyProtection="1">
      <alignment horizontal="right" vertical="center"/>
      <protection locked="0"/>
    </xf>
    <xf numFmtId="43" fontId="12" fillId="0" borderId="0" xfId="2" applyFont="1"/>
    <xf numFmtId="43" fontId="4" fillId="0" borderId="1" xfId="2" applyFont="1" applyFill="1" applyBorder="1" applyAlignment="1" applyProtection="1">
      <alignment horizontal="center" vertical="center" shrinkToFit="1"/>
    </xf>
    <xf numFmtId="43" fontId="4" fillId="0" borderId="0" xfId="2" applyFont="1" applyAlignment="1" applyProtection="1">
      <alignment horizontal="center" vertical="center"/>
      <protection locked="0"/>
    </xf>
    <xf numFmtId="43" fontId="4" fillId="0" borderId="0" xfId="2" applyFont="1" applyAlignment="1" applyProtection="1">
      <alignment horizontal="left" vertical="center"/>
      <protection locked="0"/>
    </xf>
    <xf numFmtId="43" fontId="4" fillId="0" borderId="0" xfId="2" applyFont="1" applyAlignment="1" applyProtection="1">
      <alignment vertical="center"/>
      <protection locked="0"/>
    </xf>
    <xf numFmtId="43" fontId="5" fillId="0" borderId="0" xfId="2" applyFont="1" applyAlignment="1" applyProtection="1">
      <alignment horizontal="center" vertical="center"/>
      <protection locked="0"/>
    </xf>
    <xf numFmtId="43" fontId="5" fillId="0" borderId="0" xfId="2" applyFont="1" applyAlignment="1" applyProtection="1">
      <alignment vertical="center"/>
      <protection locked="0"/>
    </xf>
    <xf numFmtId="0" fontId="12" fillId="0" borderId="0" xfId="0" applyFont="1" applyAlignment="1"/>
    <xf numFmtId="43" fontId="12" fillId="0" borderId="0" xfId="2" applyFont="1" applyAlignment="1"/>
    <xf numFmtId="0" fontId="4" fillId="0" borderId="1" xfId="1" applyNumberFormat="1" applyFont="1" applyFill="1" applyBorder="1" applyAlignment="1" applyProtection="1">
      <alignment horizontal="center" shrinkToFit="1"/>
    </xf>
    <xf numFmtId="4" fontId="12" fillId="0" borderId="1" xfId="1" applyNumberFormat="1" applyFont="1" applyFill="1" applyBorder="1" applyAlignment="1" applyProtection="1">
      <alignment horizontal="left" shrinkToFit="1"/>
    </xf>
    <xf numFmtId="4" fontId="12" fillId="0" borderId="1" xfId="1" applyNumberFormat="1" applyFont="1" applyFill="1" applyBorder="1" applyAlignment="1" applyProtection="1">
      <alignment shrinkToFit="1"/>
    </xf>
    <xf numFmtId="1" fontId="12" fillId="0" borderId="1" xfId="1" applyNumberFormat="1" applyFont="1" applyFill="1" applyBorder="1" applyAlignment="1" applyProtection="1">
      <alignment shrinkToFit="1"/>
    </xf>
    <xf numFmtId="0" fontId="14" fillId="0" borderId="1" xfId="1" applyNumberFormat="1" applyFont="1" applyFill="1" applyBorder="1" applyAlignment="1" applyProtection="1">
      <alignment horizontal="center" shrinkToFit="1"/>
    </xf>
    <xf numFmtId="43" fontId="4" fillId="0" borderId="0" xfId="2" applyFont="1" applyAlignment="1" applyProtection="1">
      <alignment horizontal="center"/>
      <protection locked="0"/>
    </xf>
    <xf numFmtId="43" fontId="4" fillId="0" borderId="0" xfId="2" applyFont="1" applyAlignment="1" applyProtection="1">
      <protection locked="0"/>
    </xf>
    <xf numFmtId="43" fontId="5" fillId="0" borderId="0" xfId="2" applyFont="1" applyAlignment="1" applyProtection="1">
      <alignment horizontal="center"/>
      <protection locked="0"/>
    </xf>
    <xf numFmtId="43" fontId="5" fillId="0" borderId="0" xfId="2" applyFont="1" applyAlignment="1" applyProtection="1">
      <protection locked="0"/>
    </xf>
    <xf numFmtId="43" fontId="12" fillId="0" borderId="0" xfId="2" applyFont="1" applyAlignment="1">
      <alignment vertical="center"/>
    </xf>
    <xf numFmtId="4" fontId="13" fillId="0" borderId="0" xfId="1" applyNumberFormat="1" applyFont="1" applyAlignment="1" applyProtection="1">
      <alignment horizontal="left" vertical="center"/>
      <protection locked="0"/>
    </xf>
    <xf numFmtId="0" fontId="12" fillId="0" borderId="0" xfId="0" applyFont="1" applyAlignment="1">
      <alignment horizontal="left" vertical="center"/>
    </xf>
    <xf numFmtId="1" fontId="12" fillId="0" borderId="1" xfId="1" applyNumberFormat="1" applyFont="1" applyFill="1" applyBorder="1" applyAlignment="1" applyProtection="1">
      <alignment horizontal="left" vertical="center" shrinkToFit="1"/>
    </xf>
    <xf numFmtId="189" fontId="12" fillId="0" borderId="1" xfId="2" applyNumberFormat="1" applyFont="1" applyBorder="1" applyAlignment="1">
      <alignment horizontal="right" vertical="center" shrinkToFit="1"/>
    </xf>
    <xf numFmtId="189" fontId="12" fillId="0" borderId="1" xfId="2" applyNumberFormat="1" applyFont="1" applyFill="1" applyBorder="1" applyAlignment="1">
      <alignment horizontal="right" vertical="center" shrinkToFit="1"/>
    </xf>
    <xf numFmtId="4" fontId="10" fillId="4" borderId="1" xfId="1" applyNumberFormat="1" applyFont="1" applyFill="1" applyBorder="1" applyAlignment="1" applyProtection="1">
      <alignment vertical="center" shrinkToFit="1"/>
    </xf>
    <xf numFmtId="4" fontId="10" fillId="4" borderId="1" xfId="2" applyNumberFormat="1" applyFont="1" applyFill="1" applyBorder="1" applyAlignment="1">
      <alignment horizontal="right" vertical="center" shrinkToFit="1"/>
    </xf>
    <xf numFmtId="4" fontId="10" fillId="4" borderId="1" xfId="0" applyNumberFormat="1" applyFont="1" applyFill="1" applyBorder="1" applyAlignment="1">
      <alignment horizontal="right" vertical="center" shrinkToFit="1"/>
    </xf>
    <xf numFmtId="0" fontId="1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4" fontId="10" fillId="2" borderId="1" xfId="1" applyNumberFormat="1" applyFont="1" applyFill="1" applyBorder="1" applyAlignment="1" applyProtection="1">
      <alignment vertical="center" shrinkToFit="1"/>
    </xf>
    <xf numFmtId="4" fontId="10" fillId="2" borderId="1" xfId="2" applyNumberFormat="1" applyFont="1" applyFill="1" applyBorder="1" applyAlignment="1">
      <alignment horizontal="right" vertical="center" shrinkToFit="1"/>
    </xf>
    <xf numFmtId="4" fontId="10" fillId="2" borderId="1" xfId="0" applyNumberFormat="1" applyFont="1" applyFill="1" applyBorder="1" applyAlignment="1">
      <alignment horizontal="right" vertical="center" shrinkToFit="1"/>
    </xf>
    <xf numFmtId="1" fontId="17" fillId="0" borderId="0" xfId="1" applyNumberFormat="1" applyFont="1" applyAlignment="1" applyProtection="1">
      <alignment horizontal="center" vertical="center" shrinkToFit="1"/>
      <protection locked="0"/>
    </xf>
    <xf numFmtId="4" fontId="17" fillId="0" borderId="0" xfId="1" applyNumberFormat="1" applyFont="1" applyAlignment="1" applyProtection="1">
      <alignment horizontal="left" vertical="center"/>
      <protection locked="0"/>
    </xf>
    <xf numFmtId="43" fontId="17" fillId="0" borderId="0" xfId="2" applyFont="1" applyAlignment="1" applyProtection="1">
      <alignment horizontal="center" vertical="center"/>
      <protection locked="0"/>
    </xf>
    <xf numFmtId="43" fontId="17" fillId="0" borderId="0" xfId="2" applyFont="1" applyAlignment="1" applyProtection="1">
      <alignment horizontal="left" vertical="center"/>
      <protection locked="0"/>
    </xf>
    <xf numFmtId="43" fontId="17" fillId="0" borderId="0" xfId="2" applyFont="1" applyAlignment="1" applyProtection="1">
      <alignment vertical="center"/>
      <protection locked="0"/>
    </xf>
    <xf numFmtId="10" fontId="17" fillId="0" borderId="0" xfId="1" applyNumberFormat="1" applyFont="1" applyAlignment="1" applyProtection="1">
      <alignment vertical="center"/>
      <protection locked="0"/>
    </xf>
    <xf numFmtId="4" fontId="17" fillId="0" borderId="0" xfId="1" applyNumberFormat="1" applyFont="1" applyAlignment="1" applyProtection="1">
      <alignment vertical="center"/>
      <protection locked="0"/>
    </xf>
    <xf numFmtId="43" fontId="17" fillId="0" borderId="0" xfId="2" applyFont="1" applyBorder="1" applyAlignment="1" applyProtection="1">
      <alignment horizontal="left" vertical="center"/>
      <protection locked="0"/>
    </xf>
    <xf numFmtId="43" fontId="17" fillId="0" borderId="0" xfId="2" applyFont="1" applyBorder="1" applyAlignment="1" applyProtection="1">
      <alignment horizontal="right" vertical="center"/>
      <protection locked="0"/>
    </xf>
    <xf numFmtId="43" fontId="22" fillId="0" borderId="0" xfId="2" applyFont="1" applyAlignment="1" applyProtection="1">
      <alignment horizontal="center" vertical="center"/>
      <protection locked="0"/>
    </xf>
    <xf numFmtId="43" fontId="22" fillId="0" borderId="0" xfId="2" applyFont="1" applyAlignment="1" applyProtection="1">
      <alignment horizontal="left" vertical="center"/>
      <protection locked="0"/>
    </xf>
    <xf numFmtId="43" fontId="22" fillId="0" borderId="0" xfId="2" applyFont="1" applyBorder="1" applyAlignment="1" applyProtection="1">
      <alignment horizontal="left" vertical="center"/>
      <protection locked="0"/>
    </xf>
    <xf numFmtId="43" fontId="22" fillId="0" borderId="0" xfId="2" applyFont="1" applyBorder="1" applyAlignment="1" applyProtection="1">
      <alignment horizontal="right" vertical="center"/>
      <protection locked="0"/>
    </xf>
    <xf numFmtId="4" fontId="13" fillId="2" borderId="1" xfId="1" applyNumberFormat="1" applyFont="1" applyFill="1" applyBorder="1" applyAlignment="1" applyProtection="1">
      <alignment horizontal="left" vertical="center" shrinkToFit="1"/>
    </xf>
    <xf numFmtId="189" fontId="13" fillId="2" borderId="1" xfId="2" applyNumberFormat="1" applyFont="1" applyFill="1" applyBorder="1" applyAlignment="1">
      <alignment horizontal="right" vertical="center" shrinkToFit="1"/>
    </xf>
    <xf numFmtId="4" fontId="13" fillId="4" borderId="1" xfId="1" applyNumberFormat="1" applyFont="1" applyFill="1" applyBorder="1" applyAlignment="1" applyProtection="1">
      <alignment horizontal="left" vertical="center" shrinkToFit="1"/>
    </xf>
    <xf numFmtId="189" fontId="13" fillId="4" borderId="1" xfId="2" applyNumberFormat="1" applyFont="1" applyFill="1" applyBorder="1" applyAlignment="1">
      <alignment horizontal="right" vertical="center" shrinkToFit="1"/>
    </xf>
    <xf numFmtId="49" fontId="22" fillId="5" borderId="1" xfId="1" applyNumberFormat="1" applyFont="1" applyFill="1" applyBorder="1" applyAlignment="1" applyProtection="1">
      <alignment horizontal="center" vertical="center" shrinkToFit="1"/>
    </xf>
    <xf numFmtId="43" fontId="22" fillId="5" borderId="1" xfId="1" applyNumberFormat="1" applyFont="1" applyFill="1" applyBorder="1" applyAlignment="1" applyProtection="1">
      <alignment vertical="center" shrinkToFit="1"/>
    </xf>
    <xf numFmtId="4" fontId="22" fillId="5" borderId="1" xfId="2" applyNumberFormat="1" applyFont="1" applyFill="1" applyBorder="1" applyAlignment="1">
      <alignment horizontal="right" vertical="center" shrinkToFit="1"/>
    </xf>
    <xf numFmtId="4" fontId="22" fillId="5" borderId="1" xfId="0" applyNumberFormat="1" applyFont="1" applyFill="1" applyBorder="1" applyAlignment="1">
      <alignment horizontal="right" vertical="center" shrinkToFit="1"/>
    </xf>
    <xf numFmtId="4" fontId="22" fillId="5" borderId="1" xfId="1" applyNumberFormat="1" applyFont="1" applyFill="1" applyBorder="1" applyAlignment="1" applyProtection="1">
      <alignment vertical="center" shrinkToFit="1"/>
    </xf>
    <xf numFmtId="0" fontId="23" fillId="0" borderId="0" xfId="0" applyFont="1" applyAlignment="1">
      <alignment horizontal="left" vertical="center"/>
    </xf>
    <xf numFmtId="4" fontId="17" fillId="0" borderId="0" xfId="1" applyNumberFormat="1" applyFont="1" applyAlignment="1" applyProtection="1">
      <alignment horizontal="center" vertical="center"/>
      <protection locked="0"/>
    </xf>
    <xf numFmtId="4" fontId="17" fillId="0" borderId="0" xfId="1" applyNumberFormat="1" applyFont="1" applyBorder="1" applyAlignment="1" applyProtection="1">
      <alignment horizontal="left" vertical="center"/>
      <protection locked="0"/>
    </xf>
    <xf numFmtId="4" fontId="17" fillId="0" borderId="0" xfId="1" applyNumberFormat="1" applyFont="1" applyBorder="1" applyAlignment="1" applyProtection="1">
      <alignment horizontal="right" vertical="center"/>
      <protection locked="0"/>
    </xf>
    <xf numFmtId="187" fontId="17" fillId="0" borderId="0" xfId="1" applyNumberFormat="1" applyFont="1" applyAlignment="1" applyProtection="1">
      <alignment horizontal="center" vertical="center"/>
      <protection locked="0"/>
    </xf>
    <xf numFmtId="0" fontId="24" fillId="0" borderId="0" xfId="0" applyFont="1"/>
    <xf numFmtId="0" fontId="17" fillId="0" borderId="0" xfId="0" applyFont="1" applyAlignment="1">
      <alignment horizontal="center"/>
    </xf>
    <xf numFmtId="0" fontId="24" fillId="0" borderId="1" xfId="1" applyNumberFormat="1" applyFont="1" applyFill="1" applyBorder="1" applyAlignment="1" applyProtection="1">
      <alignment horizontal="center" vertical="center" shrinkToFit="1"/>
    </xf>
    <xf numFmtId="4" fontId="17" fillId="0" borderId="1" xfId="1" applyNumberFormat="1" applyFont="1" applyFill="1" applyBorder="1" applyAlignment="1" applyProtection="1">
      <alignment horizontal="center" vertical="center" shrinkToFit="1"/>
    </xf>
    <xf numFmtId="0" fontId="24" fillId="0" borderId="0" xfId="0" applyFont="1" applyAlignment="1">
      <alignment horizontal="center"/>
    </xf>
    <xf numFmtId="0" fontId="13" fillId="0" borderId="0" xfId="0" applyFont="1"/>
    <xf numFmtId="0" fontId="24" fillId="0" borderId="0" xfId="0" applyFont="1" applyAlignment="1"/>
    <xf numFmtId="0" fontId="24" fillId="0" borderId="1" xfId="1" applyNumberFormat="1" applyFont="1" applyFill="1" applyBorder="1" applyAlignment="1" applyProtection="1">
      <alignment horizontal="center" shrinkToFit="1"/>
    </xf>
    <xf numFmtId="4" fontId="24" fillId="0" borderId="1" xfId="1" applyNumberFormat="1" applyFont="1" applyFill="1" applyBorder="1" applyAlignment="1" applyProtection="1">
      <alignment horizontal="center" shrinkToFit="1"/>
    </xf>
    <xf numFmtId="0" fontId="13" fillId="0" borderId="0" xfId="0" applyFont="1" applyAlignment="1"/>
    <xf numFmtId="1" fontId="17" fillId="0" borderId="0" xfId="1" applyNumberFormat="1" applyFont="1" applyAlignment="1" applyProtection="1">
      <alignment horizontal="center" shrinkToFit="1"/>
      <protection locked="0"/>
    </xf>
    <xf numFmtId="4" fontId="17" fillId="0" borderId="0" xfId="1" applyNumberFormat="1" applyFont="1" applyAlignment="1" applyProtection="1">
      <protection locked="0"/>
    </xf>
    <xf numFmtId="4" fontId="17" fillId="0" borderId="0" xfId="1" applyNumberFormat="1" applyFont="1" applyAlignment="1" applyProtection="1">
      <alignment horizontal="center"/>
      <protection locked="0"/>
    </xf>
    <xf numFmtId="4" fontId="17" fillId="0" borderId="0" xfId="1" applyNumberFormat="1" applyFont="1" applyAlignment="1" applyProtection="1">
      <alignment horizontal="left"/>
      <protection locked="0"/>
    </xf>
    <xf numFmtId="10" fontId="17" fillId="0" borderId="0" xfId="1" applyNumberFormat="1" applyFont="1" applyAlignment="1" applyProtection="1">
      <protection locked="0"/>
    </xf>
    <xf numFmtId="4" fontId="17" fillId="0" borderId="0" xfId="1" applyNumberFormat="1" applyFont="1" applyBorder="1" applyAlignment="1" applyProtection="1">
      <alignment horizontal="left"/>
      <protection locked="0"/>
    </xf>
    <xf numFmtId="4" fontId="17" fillId="0" borderId="0" xfId="1" applyNumberFormat="1" applyFont="1" applyBorder="1" applyAlignment="1" applyProtection="1">
      <alignment horizontal="right"/>
      <protection locked="0"/>
    </xf>
    <xf numFmtId="187" fontId="17" fillId="0" borderId="0" xfId="1" applyNumberFormat="1" applyFont="1" applyAlignment="1" applyProtection="1">
      <alignment horizontal="center"/>
      <protection locked="0"/>
    </xf>
    <xf numFmtId="4" fontId="12" fillId="0" borderId="1" xfId="0" applyNumberFormat="1" applyFont="1" applyBorder="1" applyAlignment="1">
      <alignment horizontal="right" shrinkToFit="1"/>
    </xf>
    <xf numFmtId="43" fontId="12" fillId="0" borderId="1" xfId="1" applyNumberFormat="1" applyFont="1" applyFill="1" applyBorder="1" applyAlignment="1" applyProtection="1">
      <alignment horizontal="left" shrinkToFit="1"/>
    </xf>
    <xf numFmtId="4" fontId="12" fillId="0" borderId="1" xfId="0" applyNumberFormat="1" applyFont="1" applyFill="1" applyBorder="1" applyAlignment="1">
      <alignment horizontal="right" shrinkToFit="1"/>
    </xf>
    <xf numFmtId="20" fontId="10" fillId="4" borderId="1" xfId="1" applyNumberFormat="1" applyFont="1" applyFill="1" applyBorder="1" applyAlignment="1" applyProtection="1">
      <alignment horizontal="center" shrinkToFit="1"/>
    </xf>
    <xf numFmtId="4" fontId="13" fillId="4" borderId="1" xfId="1" applyNumberFormat="1" applyFont="1" applyFill="1" applyBorder="1" applyAlignment="1" applyProtection="1">
      <alignment shrinkToFit="1"/>
    </xf>
    <xf numFmtId="4" fontId="13" fillId="4" borderId="1" xfId="0" applyNumberFormat="1" applyFont="1" applyFill="1" applyBorder="1" applyAlignment="1">
      <alignment horizontal="right" shrinkToFit="1"/>
    </xf>
    <xf numFmtId="0" fontId="10" fillId="2" borderId="1" xfId="1" applyNumberFormat="1" applyFont="1" applyFill="1" applyBorder="1" applyAlignment="1" applyProtection="1">
      <alignment horizontal="center" shrinkToFit="1"/>
    </xf>
    <xf numFmtId="4" fontId="13" fillId="2" borderId="1" xfId="1" applyNumberFormat="1" applyFont="1" applyFill="1" applyBorder="1" applyAlignment="1" applyProtection="1">
      <alignment shrinkToFit="1"/>
    </xf>
    <xf numFmtId="4" fontId="13" fillId="2" borderId="1" xfId="0" applyNumberFormat="1" applyFont="1" applyFill="1" applyBorder="1" applyAlignment="1">
      <alignment horizontal="right" shrinkToFit="1"/>
    </xf>
    <xf numFmtId="4" fontId="12" fillId="0" borderId="1" xfId="2" applyNumberFormat="1" applyFont="1" applyBorder="1" applyAlignment="1">
      <alignment horizontal="right" shrinkToFit="1"/>
    </xf>
    <xf numFmtId="0" fontId="12" fillId="0" borderId="0" xfId="0" applyFont="1" applyAlignment="1">
      <alignment horizontal="left"/>
    </xf>
    <xf numFmtId="4" fontId="13" fillId="4" borderId="1" xfId="2" applyNumberFormat="1" applyFont="1" applyFill="1" applyBorder="1" applyAlignment="1">
      <alignment horizontal="right" shrinkToFit="1"/>
    </xf>
    <xf numFmtId="4" fontId="13" fillId="2" borderId="1" xfId="2" applyNumberFormat="1" applyFont="1" applyFill="1" applyBorder="1" applyAlignment="1">
      <alignment horizontal="right" shrinkToFit="1"/>
    </xf>
    <xf numFmtId="4" fontId="24" fillId="0" borderId="1" xfId="1" applyNumberFormat="1" applyFont="1" applyFill="1" applyBorder="1" applyAlignment="1" applyProtection="1">
      <alignment horizontal="left" vertical="center" shrinkToFit="1"/>
    </xf>
    <xf numFmtId="43" fontId="24" fillId="0" borderId="1" xfId="2" applyFont="1" applyFill="1" applyBorder="1" applyAlignment="1" applyProtection="1">
      <alignment horizontal="center" vertical="center" shrinkToFit="1"/>
    </xf>
    <xf numFmtId="43" fontId="17" fillId="0" borderId="1" xfId="2" applyFont="1" applyFill="1" applyBorder="1" applyAlignment="1" applyProtection="1">
      <alignment horizontal="center" vertical="center" shrinkToFit="1"/>
    </xf>
    <xf numFmtId="0" fontId="17" fillId="0" borderId="1" xfId="1" applyNumberFormat="1" applyFont="1" applyFill="1" applyBorder="1" applyAlignment="1" applyProtection="1">
      <alignment horizontal="center" vertical="center" shrinkToFit="1"/>
    </xf>
    <xf numFmtId="4" fontId="12" fillId="0" borderId="1" xfId="2" applyNumberFormat="1" applyFont="1" applyBorder="1" applyAlignment="1">
      <alignment vertical="center" shrinkToFit="1"/>
    </xf>
    <xf numFmtId="4" fontId="12" fillId="0" borderId="1" xfId="0" applyNumberFormat="1" applyFont="1" applyBorder="1" applyAlignment="1">
      <alignment vertical="center" shrinkToFit="1"/>
    </xf>
    <xf numFmtId="49" fontId="17" fillId="5" borderId="1" xfId="1" applyNumberFormat="1" applyFont="1" applyFill="1" applyBorder="1" applyAlignment="1" applyProtection="1">
      <alignment horizontal="center" vertical="center" shrinkToFit="1"/>
    </xf>
    <xf numFmtId="4" fontId="17" fillId="5" borderId="1" xfId="1" applyNumberFormat="1" applyFont="1" applyFill="1" applyBorder="1" applyAlignment="1" applyProtection="1">
      <alignment horizontal="left" vertical="center" shrinkToFit="1"/>
    </xf>
    <xf numFmtId="4" fontId="17" fillId="5" borderId="1" xfId="2" applyNumberFormat="1" applyFont="1" applyFill="1" applyBorder="1" applyAlignment="1">
      <alignment horizontal="right" shrinkToFit="1"/>
    </xf>
    <xf numFmtId="4" fontId="17" fillId="5" borderId="1" xfId="0" applyNumberFormat="1" applyFont="1" applyFill="1" applyBorder="1" applyAlignment="1">
      <alignment horizontal="right" shrinkToFit="1"/>
    </xf>
    <xf numFmtId="0" fontId="17" fillId="0" borderId="0" xfId="0" applyFont="1"/>
    <xf numFmtId="43" fontId="17" fillId="5" borderId="1" xfId="1" applyNumberFormat="1" applyFont="1" applyFill="1" applyBorder="1" applyAlignment="1" applyProtection="1">
      <alignment horizontal="left" vertical="center" shrinkToFit="1"/>
    </xf>
    <xf numFmtId="189" fontId="17" fillId="5" borderId="1" xfId="2" applyNumberFormat="1" applyFont="1" applyFill="1" applyBorder="1" applyAlignment="1">
      <alignment horizontal="right" vertical="center" shrinkToFit="1"/>
    </xf>
    <xf numFmtId="49" fontId="17" fillId="5" borderId="1" xfId="1" applyNumberFormat="1" applyFont="1" applyFill="1" applyBorder="1" applyAlignment="1" applyProtection="1">
      <alignment horizontal="center" shrinkToFit="1"/>
    </xf>
    <xf numFmtId="43" fontId="17" fillId="5" borderId="1" xfId="1" applyNumberFormat="1" applyFont="1" applyFill="1" applyBorder="1" applyAlignment="1" applyProtection="1">
      <alignment shrinkToFit="1"/>
    </xf>
    <xf numFmtId="0" fontId="17" fillId="0" borderId="0" xfId="0" applyFont="1" applyAlignment="1"/>
    <xf numFmtId="4" fontId="13" fillId="4" borderId="1" xfId="2" applyNumberFormat="1" applyFont="1" applyFill="1" applyBorder="1" applyAlignment="1">
      <alignment vertical="center" shrinkToFit="1"/>
    </xf>
    <xf numFmtId="4" fontId="13" fillId="4" borderId="1" xfId="0" applyNumberFormat="1" applyFont="1" applyFill="1" applyBorder="1" applyAlignment="1">
      <alignment vertical="center" shrinkToFit="1"/>
    </xf>
    <xf numFmtId="4" fontId="17" fillId="0" borderId="1" xfId="2" applyNumberFormat="1" applyFont="1" applyBorder="1" applyAlignment="1">
      <alignment horizontal="center" vertical="center" shrinkToFit="1"/>
    </xf>
    <xf numFmtId="4" fontId="13" fillId="2" borderId="1" xfId="2" applyNumberFormat="1" applyFont="1" applyFill="1" applyBorder="1" applyAlignment="1">
      <alignment vertical="center" shrinkToFit="1"/>
    </xf>
    <xf numFmtId="4" fontId="13" fillId="2" borderId="1" xfId="0" applyNumberFormat="1" applyFont="1" applyFill="1" applyBorder="1" applyAlignment="1">
      <alignment vertical="center" shrinkToFit="1"/>
    </xf>
    <xf numFmtId="4" fontId="17" fillId="2" borderId="1" xfId="2" applyNumberFormat="1" applyFont="1" applyFill="1" applyBorder="1" applyAlignment="1">
      <alignment horizontal="center" vertical="center" shrinkToFit="1"/>
    </xf>
    <xf numFmtId="43" fontId="17" fillId="5" borderId="1" xfId="1" applyNumberFormat="1" applyFont="1" applyFill="1" applyBorder="1" applyAlignment="1" applyProtection="1">
      <alignment vertical="center" shrinkToFit="1"/>
    </xf>
    <xf numFmtId="4" fontId="17" fillId="5" borderId="1" xfId="2" applyNumberFormat="1" applyFont="1" applyFill="1" applyBorder="1" applyAlignment="1">
      <alignment vertical="center" shrinkToFit="1"/>
    </xf>
    <xf numFmtId="4" fontId="17" fillId="5" borderId="1" xfId="0" applyNumberFormat="1" applyFont="1" applyFill="1" applyBorder="1" applyAlignment="1">
      <alignment vertical="center" shrinkToFit="1"/>
    </xf>
    <xf numFmtId="4" fontId="17" fillId="5" borderId="1" xfId="2" applyNumberFormat="1" applyFont="1" applyFill="1" applyBorder="1" applyAlignment="1">
      <alignment horizontal="center" vertical="center" shrinkToFit="1"/>
    </xf>
    <xf numFmtId="0" fontId="17" fillId="0" borderId="0" xfId="0" applyFont="1" applyAlignment="1">
      <alignment horizontal="left"/>
    </xf>
    <xf numFmtId="4" fontId="17" fillId="0" borderId="1" xfId="1" applyNumberFormat="1" applyFont="1" applyFill="1" applyBorder="1" applyAlignment="1" applyProtection="1">
      <alignment horizontal="left" vertical="center" shrinkToFit="1"/>
    </xf>
    <xf numFmtId="4" fontId="17" fillId="0" borderId="1" xfId="0" applyNumberFormat="1" applyFont="1" applyBorder="1" applyAlignment="1">
      <alignment horizontal="right" shrinkToFi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31" fillId="0" borderId="0" xfId="0" applyFont="1" applyAlignment="1">
      <alignment horizontal="right" vertical="center"/>
    </xf>
    <xf numFmtId="0" fontId="27" fillId="0" borderId="1" xfId="0" applyFont="1" applyBorder="1" applyAlignment="1">
      <alignment horizontal="center" vertical="center"/>
    </xf>
    <xf numFmtId="17" fontId="26" fillId="2" borderId="1" xfId="0" applyNumberFormat="1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4" fontId="23" fillId="0" borderId="1" xfId="0" applyNumberFormat="1" applyFont="1" applyBorder="1" applyAlignment="1">
      <alignment vertical="center"/>
    </xf>
    <xf numFmtId="0" fontId="23" fillId="0" borderId="1" xfId="0" applyFont="1" applyBorder="1" applyAlignment="1">
      <alignment horizontal="left" vertical="center" wrapText="1"/>
    </xf>
    <xf numFmtId="4" fontId="28" fillId="0" borderId="1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8" fillId="0" borderId="1" xfId="0" applyFont="1" applyBorder="1" applyAlignment="1">
      <alignment horizontal="center" vertical="center"/>
    </xf>
    <xf numFmtId="4" fontId="13" fillId="0" borderId="0" xfId="1" applyNumberFormat="1" applyFont="1" applyAlignment="1" applyProtection="1">
      <alignment horizontal="center" vertical="center"/>
      <protection locked="0"/>
    </xf>
    <xf numFmtId="4" fontId="13" fillId="0" borderId="0" xfId="1" applyNumberFormat="1" applyFont="1" applyBorder="1" applyAlignment="1" applyProtection="1">
      <alignment horizontal="left" vertical="center"/>
      <protection locked="0"/>
    </xf>
    <xf numFmtId="4" fontId="13" fillId="0" borderId="0" xfId="1" applyNumberFormat="1" applyFont="1" applyBorder="1" applyAlignment="1" applyProtection="1">
      <alignment horizontal="right" vertical="center"/>
      <protection locked="0"/>
    </xf>
    <xf numFmtId="43" fontId="19" fillId="0" borderId="0" xfId="2" applyFont="1" applyAlignment="1" applyProtection="1">
      <alignment vertical="center"/>
      <protection locked="0"/>
    </xf>
    <xf numFmtId="43" fontId="12" fillId="0" borderId="1" xfId="2" applyFont="1" applyFill="1" applyBorder="1" applyAlignment="1" applyProtection="1">
      <alignment horizontal="left" vertical="center" shrinkToFit="1"/>
    </xf>
    <xf numFmtId="43" fontId="12" fillId="3" borderId="1" xfId="2" applyFont="1" applyFill="1" applyBorder="1" applyAlignment="1" applyProtection="1">
      <alignment horizontal="left" vertical="center" shrinkToFit="1"/>
    </xf>
    <xf numFmtId="1" fontId="13" fillId="0" borderId="0" xfId="1" applyNumberFormat="1" applyFont="1" applyAlignment="1" applyProtection="1">
      <alignment horizontal="center" vertical="center" shrinkToFit="1"/>
      <protection locked="0"/>
    </xf>
    <xf numFmtId="10" fontId="13" fillId="0" borderId="0" xfId="1" applyNumberFormat="1" applyFont="1" applyAlignment="1" applyProtection="1">
      <alignment vertical="center"/>
      <protection locked="0"/>
    </xf>
    <xf numFmtId="43" fontId="4" fillId="0" borderId="1" xfId="2" applyFont="1" applyFill="1" applyBorder="1" applyAlignment="1" applyProtection="1">
      <alignment horizontal="right" vertical="center" shrinkToFit="1"/>
    </xf>
    <xf numFmtId="4" fontId="4" fillId="0" borderId="1" xfId="1" applyNumberFormat="1" applyFont="1" applyFill="1" applyBorder="1" applyAlignment="1" applyProtection="1">
      <alignment horizontal="right" vertical="center" shrinkToFit="1"/>
    </xf>
    <xf numFmtId="188" fontId="10" fillId="0" borderId="0" xfId="2" applyNumberFormat="1" applyFont="1" applyAlignment="1" applyProtection="1">
      <alignment horizontal="center" vertical="center" shrinkToFit="1"/>
      <protection locked="0"/>
    </xf>
    <xf numFmtId="188" fontId="4" fillId="0" borderId="1" xfId="2" applyNumberFormat="1" applyFont="1" applyFill="1" applyBorder="1" applyAlignment="1" applyProtection="1">
      <alignment horizontal="center" vertical="center" shrinkToFit="1"/>
    </xf>
    <xf numFmtId="188" fontId="12" fillId="0" borderId="1" xfId="2" applyNumberFormat="1" applyFont="1" applyFill="1" applyBorder="1" applyAlignment="1" applyProtection="1">
      <alignment horizontal="center" vertical="center" shrinkToFit="1"/>
    </xf>
    <xf numFmtId="188" fontId="12" fillId="0" borderId="0" xfId="2" applyNumberFormat="1" applyFont="1" applyAlignment="1">
      <alignment horizontal="center"/>
    </xf>
    <xf numFmtId="43" fontId="13" fillId="0" borderId="0" xfId="2" applyFont="1" applyAlignment="1" applyProtection="1">
      <alignment horizontal="left" vertical="center"/>
      <protection locked="0"/>
    </xf>
    <xf numFmtId="43" fontId="12" fillId="0" borderId="0" xfId="2" applyFont="1" applyAlignment="1">
      <alignment horizontal="left"/>
    </xf>
    <xf numFmtId="188" fontId="12" fillId="0" borderId="0" xfId="2" applyNumberFormat="1" applyFont="1" applyAlignment="1">
      <alignment horizontal="center" vertical="center"/>
    </xf>
    <xf numFmtId="43" fontId="12" fillId="0" borderId="0" xfId="2" applyFont="1" applyAlignment="1">
      <alignment horizontal="left" vertical="center"/>
    </xf>
    <xf numFmtId="4" fontId="12" fillId="3" borderId="1" xfId="2" applyNumberFormat="1" applyFont="1" applyFill="1" applyBorder="1" applyAlignment="1">
      <alignment horizontal="right" vertical="center" shrinkToFit="1"/>
    </xf>
    <xf numFmtId="0" fontId="12" fillId="0" borderId="0" xfId="0" applyFont="1" applyAlignment="1">
      <alignment horizontal="center" vertical="center"/>
    </xf>
    <xf numFmtId="43" fontId="13" fillId="0" borderId="0" xfId="2" applyFont="1" applyAlignment="1">
      <alignment vertical="center"/>
    </xf>
    <xf numFmtId="188" fontId="10" fillId="4" borderId="1" xfId="2" applyNumberFormat="1" applyFont="1" applyFill="1" applyBorder="1" applyAlignment="1" applyProtection="1">
      <alignment horizontal="center" vertical="center" shrinkToFit="1"/>
    </xf>
    <xf numFmtId="43" fontId="13" fillId="4" borderId="1" xfId="2" applyFont="1" applyFill="1" applyBorder="1" applyAlignment="1" applyProtection="1">
      <alignment horizontal="left" vertical="center" shrinkToFit="1"/>
    </xf>
    <xf numFmtId="43" fontId="17" fillId="0" borderId="1" xfId="2" applyFont="1" applyBorder="1" applyAlignment="1">
      <alignment horizontal="right" vertical="center" shrinkToFit="1"/>
    </xf>
    <xf numFmtId="43" fontId="17" fillId="0" borderId="0" xfId="2" applyFont="1" applyAlignment="1">
      <alignment vertical="center"/>
    </xf>
    <xf numFmtId="4" fontId="17" fillId="0" borderId="1" xfId="0" applyNumberFormat="1" applyFont="1" applyBorder="1" applyAlignment="1">
      <alignment horizontal="right" vertical="center" shrinkToFit="1"/>
    </xf>
    <xf numFmtId="0" fontId="17" fillId="0" borderId="1" xfId="0" applyFont="1" applyBorder="1" applyAlignment="1">
      <alignment horizontal="right" vertical="center" shrinkToFit="1"/>
    </xf>
    <xf numFmtId="188" fontId="10" fillId="2" borderId="1" xfId="2" applyNumberFormat="1" applyFont="1" applyFill="1" applyBorder="1" applyAlignment="1" applyProtection="1">
      <alignment horizontal="center" vertical="center" shrinkToFit="1"/>
    </xf>
    <xf numFmtId="43" fontId="13" fillId="2" borderId="1" xfId="2" applyFont="1" applyFill="1" applyBorder="1" applyAlignment="1" applyProtection="1">
      <alignment horizontal="left" vertical="center" shrinkToFit="1"/>
    </xf>
    <xf numFmtId="43" fontId="17" fillId="2" borderId="1" xfId="2" applyFont="1" applyFill="1" applyBorder="1" applyAlignment="1">
      <alignment horizontal="right" vertical="center" shrinkToFit="1"/>
    </xf>
    <xf numFmtId="4" fontId="17" fillId="2" borderId="1" xfId="0" applyNumberFormat="1" applyFont="1" applyFill="1" applyBorder="1" applyAlignment="1">
      <alignment horizontal="right" vertical="center" shrinkToFit="1"/>
    </xf>
    <xf numFmtId="0" fontId="17" fillId="2" borderId="1" xfId="0" applyFont="1" applyFill="1" applyBorder="1" applyAlignment="1">
      <alignment horizontal="right" vertical="center" shrinkToFit="1"/>
    </xf>
    <xf numFmtId="188" fontId="17" fillId="5" borderId="1" xfId="2" applyNumberFormat="1" applyFont="1" applyFill="1" applyBorder="1" applyAlignment="1" applyProtection="1">
      <alignment horizontal="center" vertical="center" shrinkToFit="1"/>
    </xf>
    <xf numFmtId="43" fontId="17" fillId="5" borderId="1" xfId="2" applyFont="1" applyFill="1" applyBorder="1" applyAlignment="1" applyProtection="1">
      <alignment horizontal="left" vertical="center" shrinkToFit="1"/>
    </xf>
    <xf numFmtId="4" fontId="17" fillId="5" borderId="1" xfId="2" applyNumberFormat="1" applyFont="1" applyFill="1" applyBorder="1" applyAlignment="1">
      <alignment horizontal="right" vertical="center" shrinkToFit="1"/>
    </xf>
    <xf numFmtId="43" fontId="17" fillId="5" borderId="1" xfId="2" applyFont="1" applyFill="1" applyBorder="1" applyAlignment="1">
      <alignment horizontal="right" vertical="center" shrinkToFit="1"/>
    </xf>
    <xf numFmtId="10" fontId="17" fillId="5" borderId="1" xfId="3" applyNumberFormat="1" applyFont="1" applyFill="1" applyBorder="1" applyAlignment="1">
      <alignment horizontal="right" vertical="center" shrinkToFit="1"/>
    </xf>
    <xf numFmtId="4" fontId="17" fillId="5" borderId="1" xfId="0" applyNumberFormat="1" applyFont="1" applyFill="1" applyBorder="1" applyAlignment="1">
      <alignment horizontal="right" vertical="center" shrinkToFit="1"/>
    </xf>
    <xf numFmtId="0" fontId="17" fillId="5" borderId="1" xfId="0" applyFont="1" applyFill="1" applyBorder="1" applyAlignment="1">
      <alignment horizontal="right" vertical="center" shrinkToFit="1"/>
    </xf>
    <xf numFmtId="43" fontId="17" fillId="0" borderId="0" xfId="2" applyFont="1" applyAlignment="1">
      <alignment horizontal="center" vertical="center"/>
    </xf>
    <xf numFmtId="43" fontId="17" fillId="0" borderId="1" xfId="2" applyFont="1" applyFill="1" applyBorder="1" applyAlignment="1" applyProtection="1">
      <alignment horizontal="right" vertical="center" shrinkToFit="1"/>
    </xf>
    <xf numFmtId="43" fontId="17" fillId="4" borderId="1" xfId="2" applyFont="1" applyFill="1" applyBorder="1" applyAlignment="1">
      <alignment horizontal="right" vertical="center" shrinkToFit="1"/>
    </xf>
    <xf numFmtId="43" fontId="32" fillId="0" borderId="0" xfId="2" applyFont="1" applyFill="1" applyAlignment="1" applyProtection="1">
      <alignment vertical="center"/>
      <protection locked="0"/>
    </xf>
    <xf numFmtId="43" fontId="33" fillId="0" borderId="0" xfId="2" applyFont="1" applyAlignment="1">
      <alignment vertical="center"/>
    </xf>
    <xf numFmtId="43" fontId="33" fillId="0" borderId="1" xfId="2" applyFont="1" applyFill="1" applyBorder="1" applyAlignment="1" applyProtection="1">
      <alignment horizontal="right" vertical="center" shrinkToFit="1"/>
    </xf>
    <xf numFmtId="10" fontId="33" fillId="0" borderId="1" xfId="3" applyNumberFormat="1" applyFont="1" applyBorder="1" applyAlignment="1">
      <alignment horizontal="right" vertical="center" shrinkToFit="1"/>
    </xf>
    <xf numFmtId="10" fontId="32" fillId="4" borderId="1" xfId="3" applyNumberFormat="1" applyFont="1" applyFill="1" applyBorder="1" applyAlignment="1">
      <alignment horizontal="right" vertical="center" shrinkToFit="1"/>
    </xf>
    <xf numFmtId="10" fontId="32" fillId="2" borderId="1" xfId="3" applyNumberFormat="1" applyFont="1" applyFill="1" applyBorder="1" applyAlignment="1">
      <alignment horizontal="right" vertical="center" shrinkToFit="1"/>
    </xf>
    <xf numFmtId="10" fontId="32" fillId="5" borderId="1" xfId="3" applyNumberFormat="1" applyFont="1" applyFill="1" applyBorder="1" applyAlignment="1">
      <alignment horizontal="right" vertical="center" shrinkToFit="1"/>
    </xf>
    <xf numFmtId="10" fontId="32" fillId="0" borderId="0" xfId="1" applyNumberFormat="1" applyFont="1" applyFill="1" applyAlignment="1" applyProtection="1">
      <alignment vertical="center"/>
      <protection locked="0"/>
    </xf>
    <xf numFmtId="0" fontId="33" fillId="0" borderId="0" xfId="0" applyFont="1" applyAlignment="1">
      <alignment vertical="center"/>
    </xf>
    <xf numFmtId="10" fontId="33" fillId="0" borderId="1" xfId="1" applyNumberFormat="1" applyFont="1" applyFill="1" applyBorder="1" applyAlignment="1" applyProtection="1">
      <alignment horizontal="right" vertical="center" shrinkToFit="1"/>
    </xf>
    <xf numFmtId="0" fontId="17" fillId="0" borderId="0" xfId="0" applyFont="1" applyAlignment="1">
      <alignment horizontal="center" vertical="center"/>
    </xf>
    <xf numFmtId="4" fontId="17" fillId="0" borderId="1" xfId="1" applyNumberFormat="1" applyFont="1" applyFill="1" applyBorder="1" applyAlignment="1" applyProtection="1">
      <alignment horizontal="right" vertical="center" shrinkToFit="1"/>
    </xf>
    <xf numFmtId="0" fontId="24" fillId="0" borderId="1" xfId="0" applyFont="1" applyBorder="1" applyAlignment="1">
      <alignment horizontal="right" vertical="center" shrinkToFit="1"/>
    </xf>
    <xf numFmtId="0" fontId="33" fillId="0" borderId="0" xfId="0" applyFont="1" applyAlignment="1"/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189" fontId="17" fillId="0" borderId="1" xfId="2" applyNumberFormat="1" applyFont="1" applyBorder="1" applyAlignment="1">
      <alignment horizontal="right" vertical="center" shrinkToFit="1"/>
    </xf>
    <xf numFmtId="189" fontId="17" fillId="4" borderId="1" xfId="2" applyNumberFormat="1" applyFont="1" applyFill="1" applyBorder="1" applyAlignment="1">
      <alignment horizontal="right" vertical="center" shrinkToFit="1"/>
    </xf>
    <xf numFmtId="189" fontId="17" fillId="0" borderId="1" xfId="2" applyNumberFormat="1" applyFont="1" applyFill="1" applyBorder="1" applyAlignment="1">
      <alignment horizontal="right" vertical="center" shrinkToFit="1"/>
    </xf>
    <xf numFmtId="189" fontId="17" fillId="2" borderId="1" xfId="2" applyNumberFormat="1" applyFont="1" applyFill="1" applyBorder="1" applyAlignment="1">
      <alignment horizontal="right" vertical="center" shrinkToFit="1"/>
    </xf>
    <xf numFmtId="4" fontId="17" fillId="4" borderId="1" xfId="0" applyNumberFormat="1" applyFont="1" applyFill="1" applyBorder="1" applyAlignment="1">
      <alignment horizontal="right" shrinkToFit="1"/>
    </xf>
    <xf numFmtId="4" fontId="17" fillId="0" borderId="1" xfId="0" applyNumberFormat="1" applyFont="1" applyFill="1" applyBorder="1" applyAlignment="1">
      <alignment horizontal="right" shrinkToFit="1"/>
    </xf>
    <xf numFmtId="4" fontId="17" fillId="2" borderId="1" xfId="0" applyNumberFormat="1" applyFont="1" applyFill="1" applyBorder="1" applyAlignment="1">
      <alignment horizontal="right" shrinkToFit="1"/>
    </xf>
    <xf numFmtId="4" fontId="22" fillId="0" borderId="1" xfId="0" applyNumberFormat="1" applyFont="1" applyBorder="1" applyAlignment="1">
      <alignment horizontal="right" vertical="center" shrinkToFit="1"/>
    </xf>
    <xf numFmtId="4" fontId="22" fillId="4" borderId="1" xfId="0" applyNumberFormat="1" applyFont="1" applyFill="1" applyBorder="1" applyAlignment="1">
      <alignment horizontal="right" vertical="center" shrinkToFit="1"/>
    </xf>
    <xf numFmtId="4" fontId="22" fillId="0" borderId="1" xfId="0" applyNumberFormat="1" applyFont="1" applyFill="1" applyBorder="1" applyAlignment="1">
      <alignment horizontal="right" vertical="center" shrinkToFit="1"/>
    </xf>
    <xf numFmtId="4" fontId="22" fillId="2" borderId="1" xfId="0" applyNumberFormat="1" applyFont="1" applyFill="1" applyBorder="1" applyAlignment="1">
      <alignment horizontal="right" vertical="center" shrinkToFit="1"/>
    </xf>
    <xf numFmtId="43" fontId="17" fillId="0" borderId="0" xfId="2" applyFont="1" applyAlignment="1">
      <alignment horizontal="center"/>
    </xf>
    <xf numFmtId="4" fontId="17" fillId="0" borderId="1" xfId="2" applyNumberFormat="1" applyFont="1" applyBorder="1" applyAlignment="1">
      <alignment horizontal="right" shrinkToFit="1"/>
    </xf>
    <xf numFmtId="4" fontId="17" fillId="4" borderId="1" xfId="2" applyNumberFormat="1" applyFont="1" applyFill="1" applyBorder="1" applyAlignment="1">
      <alignment horizontal="right" shrinkToFit="1"/>
    </xf>
    <xf numFmtId="4" fontId="17" fillId="2" borderId="1" xfId="2" applyNumberFormat="1" applyFont="1" applyFill="1" applyBorder="1" applyAlignment="1">
      <alignment horizontal="right" shrinkToFit="1"/>
    </xf>
    <xf numFmtId="4" fontId="17" fillId="4" borderId="1" xfId="2" applyNumberFormat="1" applyFont="1" applyFill="1" applyBorder="1" applyAlignment="1">
      <alignment horizontal="center" vertical="center" shrinkToFit="1"/>
    </xf>
    <xf numFmtId="10" fontId="33" fillId="0" borderId="1" xfId="3" applyNumberFormat="1" applyFont="1" applyBorder="1" applyAlignment="1">
      <alignment horizontal="right" shrinkToFit="1"/>
    </xf>
    <xf numFmtId="10" fontId="32" fillId="4" borderId="1" xfId="3" applyNumberFormat="1" applyFont="1" applyFill="1" applyBorder="1" applyAlignment="1">
      <alignment horizontal="right" shrinkToFit="1"/>
    </xf>
    <xf numFmtId="10" fontId="32" fillId="0" borderId="0" xfId="3" applyNumberFormat="1" applyFont="1" applyFill="1" applyAlignment="1" applyProtection="1">
      <alignment vertical="center"/>
      <protection locked="0"/>
    </xf>
    <xf numFmtId="10" fontId="33" fillId="0" borderId="0" xfId="3" applyNumberFormat="1" applyFont="1"/>
    <xf numFmtId="10" fontId="36" fillId="0" borderId="1" xfId="3" applyNumberFormat="1" applyFont="1" applyFill="1" applyBorder="1" applyAlignment="1" applyProtection="1">
      <alignment horizontal="center" vertical="center" wrapText="1" shrinkToFit="1"/>
    </xf>
    <xf numFmtId="10" fontId="32" fillId="2" borderId="1" xfId="3" applyNumberFormat="1" applyFont="1" applyFill="1" applyBorder="1" applyAlignment="1">
      <alignment horizontal="right" shrinkToFit="1"/>
    </xf>
    <xf numFmtId="10" fontId="32" fillId="5" borderId="1" xfId="3" applyNumberFormat="1" applyFont="1" applyFill="1" applyBorder="1" applyAlignment="1">
      <alignment horizontal="right" shrinkToFit="1"/>
    </xf>
    <xf numFmtId="10" fontId="32" fillId="0" borderId="0" xfId="3" applyNumberFormat="1" applyFont="1"/>
    <xf numFmtId="10" fontId="37" fillId="0" borderId="1" xfId="3" applyNumberFormat="1" applyFont="1" applyFill="1" applyBorder="1" applyAlignment="1" applyProtection="1">
      <alignment horizontal="center" vertical="center" wrapText="1" shrinkToFit="1"/>
    </xf>
    <xf numFmtId="10" fontId="16" fillId="0" borderId="0" xfId="3" applyNumberFormat="1" applyFont="1" applyFill="1" applyAlignment="1" applyProtection="1">
      <alignment vertical="center"/>
      <protection locked="0"/>
    </xf>
    <xf numFmtId="10" fontId="33" fillId="0" borderId="0" xfId="3" applyNumberFormat="1" applyFont="1" applyAlignment="1">
      <alignment vertical="center"/>
    </xf>
    <xf numFmtId="10" fontId="33" fillId="0" borderId="1" xfId="3" applyNumberFormat="1" applyFont="1" applyBorder="1" applyAlignment="1">
      <alignment vertical="center" shrinkToFit="1"/>
    </xf>
    <xf numFmtId="10" fontId="32" fillId="4" borderId="1" xfId="3" applyNumberFormat="1" applyFont="1" applyFill="1" applyBorder="1" applyAlignment="1">
      <alignment vertical="center" shrinkToFit="1"/>
    </xf>
    <xf numFmtId="10" fontId="32" fillId="2" borderId="1" xfId="3" applyNumberFormat="1" applyFont="1" applyFill="1" applyBorder="1" applyAlignment="1">
      <alignment vertical="center" shrinkToFit="1"/>
    </xf>
    <xf numFmtId="10" fontId="32" fillId="5" borderId="1" xfId="3" applyNumberFormat="1" applyFont="1" applyFill="1" applyBorder="1" applyAlignment="1">
      <alignment vertical="center" shrinkToFit="1"/>
    </xf>
    <xf numFmtId="10" fontId="30" fillId="0" borderId="0" xfId="3" applyNumberFormat="1" applyFont="1" applyFill="1" applyAlignment="1" applyProtection="1">
      <alignment vertical="center"/>
      <protection locked="0"/>
    </xf>
    <xf numFmtId="10" fontId="34" fillId="0" borderId="1" xfId="3" applyNumberFormat="1" applyFont="1" applyFill="1" applyBorder="1" applyAlignment="1" applyProtection="1">
      <alignment horizontal="center" vertical="center" wrapText="1" shrinkToFit="1"/>
    </xf>
    <xf numFmtId="10" fontId="22" fillId="5" borderId="1" xfId="3" applyNumberFormat="1" applyFont="1" applyFill="1" applyBorder="1" applyAlignment="1">
      <alignment horizontal="right" vertical="center" shrinkToFit="1"/>
    </xf>
    <xf numFmtId="10" fontId="35" fillId="0" borderId="0" xfId="3" applyNumberFormat="1" applyFont="1" applyAlignment="1">
      <alignment horizontal="right" vertical="center"/>
    </xf>
    <xf numFmtId="10" fontId="35" fillId="0" borderId="0" xfId="3" applyNumberFormat="1" applyFont="1" applyAlignment="1">
      <alignment horizontal="center" vertical="center"/>
    </xf>
    <xf numFmtId="10" fontId="33" fillId="0" borderId="1" xfId="3" applyNumberFormat="1" applyFont="1" applyFill="1" applyBorder="1" applyAlignment="1">
      <alignment horizontal="right" vertical="center" shrinkToFit="1"/>
    </xf>
    <xf numFmtId="10" fontId="32" fillId="0" borderId="0" xfId="3" applyNumberFormat="1" applyFont="1" applyFill="1" applyAlignment="1" applyProtection="1">
      <protection locked="0"/>
    </xf>
    <xf numFmtId="10" fontId="33" fillId="0" borderId="0" xfId="3" applyNumberFormat="1" applyFont="1" applyAlignment="1"/>
    <xf numFmtId="10" fontId="33" fillId="0" borderId="1" xfId="3" applyNumberFormat="1" applyFont="1" applyFill="1" applyBorder="1" applyAlignment="1" applyProtection="1">
      <alignment horizontal="center" wrapText="1" shrinkToFit="1"/>
    </xf>
    <xf numFmtId="10" fontId="33" fillId="0" borderId="1" xfId="3" applyNumberFormat="1" applyFont="1" applyFill="1" applyBorder="1" applyAlignment="1">
      <alignment horizontal="right" shrinkToFit="1"/>
    </xf>
    <xf numFmtId="10" fontId="17" fillId="5" borderId="1" xfId="3" applyNumberFormat="1" applyFont="1" applyFill="1" applyBorder="1" applyAlignment="1">
      <alignment horizontal="right" shrinkToFit="1"/>
    </xf>
    <xf numFmtId="10" fontId="16" fillId="0" borderId="1" xfId="3" applyNumberFormat="1" applyFont="1" applyFill="1" applyBorder="1" applyAlignment="1" applyProtection="1">
      <alignment horizontal="center" vertical="center" wrapText="1" shrinkToFit="1"/>
    </xf>
    <xf numFmtId="10" fontId="35" fillId="0" borderId="1" xfId="3" applyNumberFormat="1" applyFont="1" applyBorder="1" applyAlignment="1">
      <alignment horizontal="right" vertical="center" shrinkToFit="1"/>
    </xf>
    <xf numFmtId="10" fontId="16" fillId="4" borderId="1" xfId="3" applyNumberFormat="1" applyFont="1" applyFill="1" applyBorder="1" applyAlignment="1">
      <alignment horizontal="right" vertical="center" shrinkToFit="1"/>
    </xf>
    <xf numFmtId="10" fontId="35" fillId="0" borderId="1" xfId="3" applyNumberFormat="1" applyFont="1" applyFill="1" applyBorder="1" applyAlignment="1">
      <alignment horizontal="right" vertical="center" shrinkToFit="1"/>
    </xf>
    <xf numFmtId="10" fontId="16" fillId="2" borderId="1" xfId="3" applyNumberFormat="1" applyFont="1" applyFill="1" applyBorder="1" applyAlignment="1">
      <alignment horizontal="right" vertical="center" shrinkToFit="1"/>
    </xf>
    <xf numFmtId="10" fontId="35" fillId="0" borderId="0" xfId="3" applyNumberFormat="1" applyFont="1"/>
    <xf numFmtId="10" fontId="33" fillId="0" borderId="1" xfId="3" applyNumberFormat="1" applyFont="1" applyFill="1" applyBorder="1" applyAlignment="1" applyProtection="1">
      <alignment horizontal="center" vertical="center" shrinkToFit="1"/>
    </xf>
    <xf numFmtId="10" fontId="33" fillId="4" borderId="1" xfId="3" applyNumberFormat="1" applyFont="1" applyFill="1" applyBorder="1" applyAlignment="1">
      <alignment horizontal="right" vertical="center" shrinkToFit="1"/>
    </xf>
    <xf numFmtId="4" fontId="12" fillId="0" borderId="1" xfId="0" applyNumberFormat="1" applyFont="1" applyFill="1" applyBorder="1" applyAlignment="1">
      <alignment horizontal="right" vertical="center" shrinkToFit="1"/>
    </xf>
    <xf numFmtId="4" fontId="17" fillId="0" borderId="1" xfId="0" applyNumberFormat="1" applyFont="1" applyFill="1" applyBorder="1" applyAlignment="1">
      <alignment horizontal="right" vertical="center" shrinkToFit="1"/>
    </xf>
    <xf numFmtId="0" fontId="12" fillId="0" borderId="0" xfId="0" applyFont="1" applyFill="1" applyAlignment="1">
      <alignment vertical="center"/>
    </xf>
    <xf numFmtId="10" fontId="33" fillId="2" borderId="1" xfId="3" applyNumberFormat="1" applyFont="1" applyFill="1" applyBorder="1" applyAlignment="1">
      <alignment horizontal="right" vertical="center" shrinkToFit="1"/>
    </xf>
    <xf numFmtId="4" fontId="24" fillId="5" borderId="1" xfId="0" applyNumberFormat="1" applyFont="1" applyFill="1" applyBorder="1" applyAlignment="1">
      <alignment horizontal="right" vertical="center" shrinkToFit="1"/>
    </xf>
    <xf numFmtId="10" fontId="24" fillId="5" borderId="1" xfId="3" applyNumberFormat="1" applyFont="1" applyFill="1" applyBorder="1" applyAlignment="1">
      <alignment horizontal="right" vertical="center" shrinkToFit="1"/>
    </xf>
    <xf numFmtId="0" fontId="24" fillId="0" borderId="0" xfId="0" applyFont="1" applyAlignment="1">
      <alignment vertical="center"/>
    </xf>
    <xf numFmtId="43" fontId="33" fillId="0" borderId="0" xfId="2" applyFont="1" applyAlignment="1"/>
    <xf numFmtId="4" fontId="8" fillId="0" borderId="0" xfId="1" applyNumberFormat="1" applyFont="1" applyAlignment="1" applyProtection="1">
      <alignment horizontal="center" vertical="center"/>
      <protection locked="0"/>
    </xf>
    <xf numFmtId="4" fontId="4" fillId="0" borderId="0" xfId="1" applyNumberFormat="1" applyFont="1" applyAlignment="1" applyProtection="1">
      <alignment horizontal="center" vertical="center"/>
      <protection locked="0"/>
    </xf>
    <xf numFmtId="43" fontId="4" fillId="0" borderId="0" xfId="2" applyFont="1" applyAlignment="1" applyProtection="1">
      <alignment horizontal="center"/>
      <protection locked="0"/>
    </xf>
    <xf numFmtId="4" fontId="4" fillId="0" borderId="0" xfId="1" applyNumberFormat="1" applyFont="1" applyAlignment="1" applyProtection="1">
      <alignment horizontal="center"/>
      <protection locked="0"/>
    </xf>
  </cellXfs>
  <cellStyles count="4">
    <cellStyle name="Comma" xfId="2" builtinId="3"/>
    <cellStyle name="Normal" xfId="0" builtinId="0"/>
    <cellStyle name="Normal_SUOSTOCK 1" xfId="1"/>
    <cellStyle name="Percent" xfId="3" builtinId="5"/>
  </cellStyles>
  <dxfs count="0"/>
  <tableStyles count="0" defaultTableStyle="TableStyleMedium2" defaultPivotStyle="PivotStyleLight16"/>
  <colors>
    <mruColors>
      <color rgb="FF0000FF"/>
      <color rgb="FFFF66CC"/>
      <color rgb="FF00FFFF"/>
      <color rgb="FFFF99FF"/>
      <color rgb="FF006600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mel/Downloads/&#3619;&#3591;.%20&#3611;&#3637;%202560/&#3619;&#3591;.&#3648;&#3610;&#3636;&#3585;&#3618;&#3634;%20&#3619;&#3614;&#3626;&#3605;.%2060/&#3619;&#3634;&#3618;&#3591;&#3634;&#3609;&#3617;&#3641;&#3621;&#3588;&#3656;&#3634;&#3585;&#3634;&#3619;&#3648;&#3610;&#3636;&#3585;&#3618;&#3634;&#3611;&#3619;&#3633;&#3610;&#3651;&#3627;&#3617;&#3656;..6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ยา(ทั่วไป)"/>
      <sheetName val="1.2.ยา(โรคเรื้อรัง)"/>
      <sheetName val="1.3.vaccine"/>
      <sheetName val="1.4.ยา(ไม่รวมvac)"/>
      <sheetName val="1.5.ยาทั้งหมด(รวมvac)"/>
      <sheetName val="3.1.ยา+วชย"/>
      <sheetName val="3.2.ยา+vac+วชย."/>
      <sheetName val="ยาopd พิเศษ"/>
      <sheetName val="5.1.รพ.ยาสมุนไพร1"/>
      <sheetName val="6.%ยาสมุนไพร"/>
      <sheetName val="5.2.รพ.สมุนไพร2"/>
      <sheetName val="วัสดุทางการแพทย์"/>
      <sheetName val="วัสดุlab"/>
      <sheetName val="วัสดุทันตกรรม"/>
      <sheetName val="วัสดุสำนักงาน"/>
      <sheetName val="วัสดุงานบ้าน"/>
      <sheetName val="ยาเรื้อรังฟรี"/>
    </sheetNames>
    <sheetDataSet>
      <sheetData sheetId="0">
        <row r="2">
          <cell r="C2" t="str">
            <v>จาก ฝ่ายเภสัชกรรมชุมชน  โรงพยาบาลกุมภวาปี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E11"/>
  <sheetViews>
    <sheetView workbookViewId="0">
      <selection activeCell="D6" sqref="D6"/>
    </sheetView>
  </sheetViews>
  <sheetFormatPr defaultRowHeight="36.75" customHeight="1" x14ac:dyDescent="0.2"/>
  <cols>
    <col min="1" max="1" width="3" style="226" customWidth="1"/>
    <col min="2" max="2" width="4.5" style="227" customWidth="1"/>
    <col min="3" max="3" width="55" style="161" customWidth="1"/>
    <col min="4" max="4" width="20.375" style="226" customWidth="1"/>
    <col min="5" max="27" width="3" style="226" customWidth="1"/>
    <col min="28" max="16384" width="9" style="226"/>
  </cols>
  <sheetData>
    <row r="1" spans="2:5" s="230" customFormat="1" ht="27" customHeight="1" x14ac:dyDescent="0.2">
      <c r="B1" s="228"/>
      <c r="C1" s="229" t="s">
        <v>47</v>
      </c>
    </row>
    <row r="2" spans="2:5" s="230" customFormat="1" ht="27" customHeight="1" x14ac:dyDescent="0.2">
      <c r="B2" s="228"/>
      <c r="C2" s="231" t="s">
        <v>78</v>
      </c>
    </row>
    <row r="3" spans="2:5" s="230" customFormat="1" ht="27" customHeight="1" x14ac:dyDescent="0.2">
      <c r="B3" s="228"/>
      <c r="C3" s="232" t="s">
        <v>48</v>
      </c>
      <c r="E3" s="233"/>
    </row>
    <row r="4" spans="2:5" s="230" customFormat="1" ht="22.5" customHeight="1" x14ac:dyDescent="0.2">
      <c r="B4" s="228"/>
      <c r="C4" s="234"/>
      <c r="D4" s="235" t="s">
        <v>82</v>
      </c>
      <c r="E4" s="233"/>
    </row>
    <row r="5" spans="2:5" ht="36.75" customHeight="1" x14ac:dyDescent="0.2">
      <c r="B5" s="236" t="s">
        <v>0</v>
      </c>
      <c r="C5" s="236" t="s">
        <v>46</v>
      </c>
      <c r="D5" s="237">
        <v>241698</v>
      </c>
      <c r="E5" s="227"/>
    </row>
    <row r="6" spans="2:5" ht="30" customHeight="1" x14ac:dyDescent="0.2">
      <c r="B6" s="238">
        <v>1</v>
      </c>
      <c r="C6" s="239" t="s">
        <v>75</v>
      </c>
      <c r="D6" s="240">
        <f>'1.1รวมยาทั้งหมด(1+2+3+4)'!O27</f>
        <v>5544949.4754999988</v>
      </c>
    </row>
    <row r="7" spans="2:5" ht="30" customHeight="1" x14ac:dyDescent="0.2">
      <c r="B7" s="238">
        <v>2</v>
      </c>
      <c r="C7" s="239" t="s">
        <v>76</v>
      </c>
      <c r="D7" s="240">
        <f>'1.2 ยาทั้งหมดรวมvaccin'!O27</f>
        <v>7013639.0954999998</v>
      </c>
    </row>
    <row r="8" spans="2:5" ht="60.75" customHeight="1" x14ac:dyDescent="0.2">
      <c r="B8" s="238">
        <v>3</v>
      </c>
      <c r="C8" s="241" t="s">
        <v>80</v>
      </c>
      <c r="D8" s="240">
        <f>'2.รวมวชย ทุกประเภท'!O27</f>
        <v>1833484</v>
      </c>
    </row>
    <row r="9" spans="2:5" ht="36.75" customHeight="1" x14ac:dyDescent="0.2">
      <c r="B9" s="236">
        <v>4</v>
      </c>
      <c r="C9" s="244" t="s">
        <v>79</v>
      </c>
      <c r="D9" s="242">
        <f>D7+D8</f>
        <v>8847123.0954999998</v>
      </c>
    </row>
    <row r="10" spans="2:5" ht="12" customHeight="1" x14ac:dyDescent="0.2"/>
    <row r="11" spans="2:5" ht="23.25" customHeight="1" x14ac:dyDescent="0.2">
      <c r="B11" s="243" t="s">
        <v>77</v>
      </c>
      <c r="C11" s="226"/>
    </row>
  </sheetData>
  <printOptions horizontalCentered="1"/>
  <pageMargins left="0.51181102362204722" right="0.31496062992125984" top="0.74803149606299213" bottom="0.74803149606299213" header="0.31496062992125984" footer="0.31496062992125984"/>
  <pageSetup paperSize="9" scale="90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35"/>
  <sheetViews>
    <sheetView showGridLines="0" topLeftCell="A4" workbookViewId="0">
      <selection activeCell="B2" sqref="B2"/>
    </sheetView>
  </sheetViews>
  <sheetFormatPr defaultColWidth="12.875" defaultRowHeight="17.25" customHeight="1" x14ac:dyDescent="0.2"/>
  <cols>
    <col min="1" max="1" width="4.75" style="261" customWidth="1"/>
    <col min="2" max="2" width="15.25" style="262" customWidth="1"/>
    <col min="3" max="14" width="8.375" style="125" customWidth="1"/>
    <col min="15" max="15" width="10" style="284" customWidth="1"/>
    <col min="16" max="16" width="9.625" style="288" customWidth="1"/>
    <col min="17" max="16384" width="12.875" style="125"/>
  </cols>
  <sheetData>
    <row r="1" spans="1:17" s="104" customFormat="1" ht="17.25" customHeight="1" x14ac:dyDescent="0.2">
      <c r="A1" s="255"/>
      <c r="B1" s="259"/>
      <c r="C1" s="102"/>
      <c r="D1" s="103" t="s">
        <v>45</v>
      </c>
      <c r="E1" s="102"/>
      <c r="F1" s="102"/>
      <c r="G1" s="102"/>
      <c r="H1" s="102"/>
      <c r="K1" s="103" t="str">
        <f>สรุปยอด!C3</f>
        <v xml:space="preserve"> ปีงบประมาณ   2561</v>
      </c>
      <c r="L1" s="102"/>
      <c r="M1" s="102"/>
      <c r="N1" s="102"/>
      <c r="O1" s="141"/>
      <c r="P1" s="287"/>
      <c r="Q1" s="248"/>
    </row>
    <row r="2" spans="1:17" s="104" customFormat="1" ht="17.25" customHeight="1" x14ac:dyDescent="0.2">
      <c r="A2" s="255"/>
      <c r="B2" s="259"/>
      <c r="C2" s="103" t="str">
        <f>'[1]1.1.ยา(ทั่วไป)'!C2</f>
        <v>จาก ฝ่ายเภสัชกรรมชุมชน  โรงพยาบาลกุมภวาปี</v>
      </c>
      <c r="D2" s="102"/>
      <c r="F2" s="102"/>
      <c r="G2" s="102"/>
      <c r="I2" s="102"/>
      <c r="J2" s="102"/>
      <c r="K2" s="102"/>
      <c r="M2" s="105"/>
      <c r="N2" s="106" t="str">
        <f>สรุปยอด!D4</f>
        <v xml:space="preserve">รายงานข้อมูลณ วันที่ 28/9/61 </v>
      </c>
      <c r="O2" s="141"/>
      <c r="P2" s="287"/>
      <c r="Q2" s="248"/>
    </row>
    <row r="3" spans="1:17" ht="6.75" customHeight="1" x14ac:dyDescent="0.2"/>
    <row r="4" spans="1:17" ht="17.25" customHeight="1" x14ac:dyDescent="0.2">
      <c r="A4" s="256" t="s">
        <v>0</v>
      </c>
      <c r="B4" s="249" t="s">
        <v>1</v>
      </c>
      <c r="C4" s="253" t="s">
        <v>27</v>
      </c>
      <c r="D4" s="253" t="s">
        <v>28</v>
      </c>
      <c r="E4" s="253" t="s">
        <v>29</v>
      </c>
      <c r="F4" s="253" t="s">
        <v>30</v>
      </c>
      <c r="G4" s="253" t="s">
        <v>31</v>
      </c>
      <c r="H4" s="253" t="s">
        <v>32</v>
      </c>
      <c r="I4" s="253" t="s">
        <v>33</v>
      </c>
      <c r="J4" s="253" t="s">
        <v>34</v>
      </c>
      <c r="K4" s="253" t="s">
        <v>35</v>
      </c>
      <c r="L4" s="253" t="s">
        <v>36</v>
      </c>
      <c r="M4" s="253" t="s">
        <v>37</v>
      </c>
      <c r="N4" s="253" t="s">
        <v>38</v>
      </c>
      <c r="O4" s="285" t="s">
        <v>39</v>
      </c>
      <c r="P4" s="289" t="s">
        <v>40</v>
      </c>
    </row>
    <row r="5" spans="1:17" ht="17.25" customHeight="1" x14ac:dyDescent="0.2">
      <c r="A5" s="256">
        <v>1</v>
      </c>
      <c r="B5" s="249" t="s">
        <v>18</v>
      </c>
      <c r="C5" s="35">
        <f>'2.1วสด.การแพทย์'!C5+'2.2วสด.สนง'!C5+'2.3วสด.งานบ้าน'!C5+'2.4วสด. LAB'!C5+'2.5วสด. dent'!C5+'2.6วสด.เภสัช'!C5</f>
        <v>21335.39</v>
      </c>
      <c r="D5" s="35">
        <f>'2.1วสด.การแพทย์'!D5+'2.2วสด.สนง'!D5+'2.3วสด.งานบ้าน'!D5+'2.4วสด. LAB'!D5+'2.5วสด. dent'!D5+'2.6วสด.เภสัช'!D5</f>
        <v>37368.78</v>
      </c>
      <c r="E5" s="35">
        <f>'2.1วสด.การแพทย์'!E5+'2.2วสด.สนง'!E5+'2.3วสด.งานบ้าน'!E5+'2.4วสด. LAB'!E5+'2.5วสด. dent'!E5+'2.6วสด.เภสัช'!E5</f>
        <v>21956.12</v>
      </c>
      <c r="F5" s="35">
        <f>'2.1วสด.การแพทย์'!F5+'2.2วสด.สนง'!F5+'2.3วสด.งานบ้าน'!F5+'2.4วสด. LAB'!F5+'2.5วสด. dent'!F5+'2.6วสด.เภสัช'!F5</f>
        <v>14681.03</v>
      </c>
      <c r="G5" s="35">
        <f>'2.1วสด.การแพทย์'!G5+'2.2วสด.สนง'!G5+'2.3วสด.งานบ้าน'!G5+'2.4วสด. LAB'!G5+'2.5วสด. dent'!G5+'2.6วสด.เภสัช'!G5</f>
        <v>16071.84</v>
      </c>
      <c r="H5" s="35">
        <f>'2.1วสด.การแพทย์'!H5+'2.2วสด.สนง'!H5+'2.3วสด.งานบ้าน'!H5+'2.4วสด. LAB'!H5+'2.5วสด. dent'!H5+'2.6วสด.เภสัช'!H5</f>
        <v>21618</v>
      </c>
      <c r="I5" s="35">
        <f>'2.1วสด.การแพทย์'!I5+'2.2วสด.สนง'!I5+'2.3วสด.งานบ้าน'!I5+'2.4วสด. LAB'!I5+'2.5วสด. dent'!I5+'2.6วสด.เภสัช'!I5</f>
        <v>0</v>
      </c>
      <c r="J5" s="35">
        <f>'2.1วสด.การแพทย์'!J5+'2.2วสด.สนง'!J5+'2.3วสด.งานบ้าน'!J5+'2.4วสด. LAB'!J5+'2.5วสด. dent'!J5+'2.6วสด.เภสัช'!J5</f>
        <v>31216.31</v>
      </c>
      <c r="K5" s="35">
        <f>'2.1วสด.การแพทย์'!K5+'2.2วสด.สนง'!K5+'2.3วสด.งานบ้าน'!K5+'2.4วสด. LAB'!K5+'2.5วสด. dent'!K5+'2.6วสด.เภสัช'!K5</f>
        <v>35837.1</v>
      </c>
      <c r="L5" s="35">
        <f>'2.1วสด.การแพทย์'!L5+'2.2วสด.สนง'!L5+'2.3วสด.งานบ้าน'!L5+'2.4วสด. LAB'!L5+'2.5วสด. dent'!L5+'2.6วสด.เภสัช'!L5</f>
        <v>37062.69</v>
      </c>
      <c r="M5" s="35">
        <f>'2.1วสด.การแพทย์'!M5+'2.2วสด.สนง'!M5+'2.3วสด.งานบ้าน'!M5+'2.4วสด. LAB'!M5+'2.5วสด. dent'!M5+'2.6วสด.เภสัช'!M5</f>
        <v>16844</v>
      </c>
      <c r="N5" s="35">
        <f>'2.1วสด.การแพทย์'!N5+'2.2วสด.สนง'!N5+'2.3วสด.งานบ้าน'!N5+'2.4วสด. LAB'!N5+'2.5วสด. dent'!N5+'2.6วสด.เภสัช'!N5</f>
        <v>11510</v>
      </c>
      <c r="O5" s="268">
        <f>SUM(C5:N5)</f>
        <v>265501.26</v>
      </c>
      <c r="P5" s="290">
        <f t="shared" ref="P5:P27" si="0">O5/$O$23</f>
        <v>0.14904432558329722</v>
      </c>
    </row>
    <row r="6" spans="1:17" ht="17.25" customHeight="1" x14ac:dyDescent="0.2">
      <c r="A6" s="256">
        <v>2</v>
      </c>
      <c r="B6" s="249" t="s">
        <v>19</v>
      </c>
      <c r="C6" s="35">
        <f>'2.1วสด.การแพทย์'!C6+'2.2วสด.สนง'!C6+'2.3วสด.งานบ้าน'!C6+'2.4วสด. LAB'!C6+'2.5วสด. dent'!C6+'2.6วสด.เภสัช'!C6</f>
        <v>2272.23</v>
      </c>
      <c r="D6" s="35">
        <f>'2.1วสด.การแพทย์'!D6+'2.2วสด.สนง'!D6+'2.3วสด.งานบ้าน'!D6+'2.4วสด. LAB'!D6+'2.5วสด. dent'!D6+'2.6วสด.เภสัช'!D6</f>
        <v>20158.57</v>
      </c>
      <c r="E6" s="35">
        <f>'2.1วสด.การแพทย์'!E6+'2.2วสด.สนง'!E6+'2.3วสด.งานบ้าน'!E6+'2.4วสด. LAB'!E6+'2.5วสด. dent'!E6+'2.6วสด.เภสัช'!E6</f>
        <v>10601.150000000001</v>
      </c>
      <c r="F6" s="35">
        <f>'2.1วสด.การแพทย์'!F6+'2.2วสด.สนง'!F6+'2.3วสด.งานบ้าน'!F6+'2.4วสด. LAB'!F6+'2.5วสด. dent'!F6+'2.6วสด.เภสัช'!F6</f>
        <v>10528.75</v>
      </c>
      <c r="G6" s="35">
        <f>'2.1วสด.การแพทย์'!G6+'2.2วสด.สนง'!G6+'2.3วสด.งานบ้าน'!G6+'2.4วสด. LAB'!G6+'2.5วสด. dent'!G6+'2.6วสด.เภสัช'!G6</f>
        <v>12747.26</v>
      </c>
      <c r="H6" s="35">
        <f>'2.1วสด.การแพทย์'!H6+'2.2วสด.สนง'!H6+'2.3วสด.งานบ้าน'!H6+'2.4วสด. LAB'!H6+'2.5วสด. dent'!H6+'2.6วสด.เภสัช'!H6</f>
        <v>14021.2</v>
      </c>
      <c r="I6" s="35">
        <f>'2.1วสด.การแพทย์'!I6+'2.2วสด.สนง'!I6+'2.3วสด.งานบ้าน'!I6+'2.4วสด. LAB'!I6+'2.5วสด. dent'!I6+'2.6วสด.เภสัช'!I6</f>
        <v>8964.4500000000007</v>
      </c>
      <c r="J6" s="35">
        <f>'2.1วสด.การแพทย์'!J6+'2.2วสด.สนง'!J6+'2.3วสด.งานบ้าน'!J6+'2.4วสด. LAB'!J6+'2.5วสด. dent'!J6+'2.6วสด.เภสัช'!J6</f>
        <v>5945.18</v>
      </c>
      <c r="K6" s="35">
        <f>'2.1วสด.การแพทย์'!K6+'2.2วสด.สนง'!K6+'2.3วสด.งานบ้าน'!K6+'2.4วสด. LAB'!K6+'2.5วสด. dent'!K6+'2.6วสด.เภสัช'!K6</f>
        <v>12913.9</v>
      </c>
      <c r="L6" s="35">
        <f>'2.1วสด.การแพทย์'!L6+'2.2วสด.สนง'!L6+'2.3วสด.งานบ้าน'!L6+'2.4วสด. LAB'!L6+'2.5วสด. dent'!L6+'2.6วสด.เภสัช'!L6</f>
        <v>56302.05</v>
      </c>
      <c r="M6" s="35">
        <f>'2.1วสด.การแพทย์'!M6+'2.2วสด.สนง'!M6+'2.3วสด.งานบ้าน'!M6+'2.4วสด. LAB'!M6+'2.5วสด. dent'!M6+'2.6วสด.เภสัช'!M6</f>
        <v>11411.2</v>
      </c>
      <c r="N6" s="35">
        <f>'2.1วสด.การแพทย์'!N6+'2.2วสด.สนง'!N6+'2.3วสด.งานบ้าน'!N6+'2.4วสด. LAB'!N6+'2.5วสด. dent'!N6+'2.6วสด.เภสัช'!N6</f>
        <v>11452.27</v>
      </c>
      <c r="O6" s="268">
        <f t="shared" ref="O6:O27" si="1">SUM(C6:N6)</f>
        <v>177318.21</v>
      </c>
      <c r="P6" s="290">
        <f t="shared" si="0"/>
        <v>9.9541045579548168E-2</v>
      </c>
    </row>
    <row r="7" spans="1:17" ht="17.25" customHeight="1" x14ac:dyDescent="0.2">
      <c r="A7" s="256">
        <v>3</v>
      </c>
      <c r="B7" s="249" t="s">
        <v>20</v>
      </c>
      <c r="C7" s="35">
        <f>'2.1วสด.การแพทย์'!C7+'2.2วสด.สนง'!C7+'2.3วสด.งานบ้าน'!C7+'2.4วสด. LAB'!C7+'2.5วสด. dent'!C7+'2.6วสด.เภสัช'!C7</f>
        <v>320</v>
      </c>
      <c r="D7" s="35">
        <f>'2.1วสด.การแพทย์'!D7+'2.2วสด.สนง'!D7+'2.3วสด.งานบ้าน'!D7+'2.4วสด. LAB'!D7+'2.5วสด. dent'!D7+'2.6วสด.เภสัช'!D7</f>
        <v>8525.5500000000011</v>
      </c>
      <c r="E7" s="35">
        <f>'2.1วสด.การแพทย์'!E7+'2.2วสด.สนง'!E7+'2.3วสด.งานบ้าน'!E7+'2.4วสด. LAB'!E7+'2.5วสด. dent'!E7+'2.6วสด.เภสัช'!E7</f>
        <v>4179.3999999999996</v>
      </c>
      <c r="F7" s="35">
        <f>'2.1วสด.การแพทย์'!F7+'2.2วสด.สนง'!F7+'2.3วสด.งานบ้าน'!F7+'2.4วสด. LAB'!F7+'2.5วสด. dent'!F7+'2.6วสด.เภสัช'!F7</f>
        <v>6851.82</v>
      </c>
      <c r="G7" s="35">
        <f>'2.1วสด.การแพทย์'!G7+'2.2วสด.สนง'!G7+'2.3วสด.งานบ้าน'!G7+'2.4วสด. LAB'!G7+'2.5วสด. dent'!G7+'2.6วสด.เภสัช'!G7</f>
        <v>8169.5</v>
      </c>
      <c r="H7" s="35">
        <f>'2.1วสด.การแพทย์'!H7+'2.2วสด.สนง'!H7+'2.3วสด.งานบ้าน'!H7+'2.4วสด. LAB'!H7+'2.5วสด. dent'!H7+'2.6วสด.เภสัช'!H7</f>
        <v>9246.2000000000007</v>
      </c>
      <c r="I7" s="35">
        <f>'2.1วสด.การแพทย์'!I7+'2.2วสด.สนง'!I7+'2.3วสด.งานบ้าน'!I7+'2.4วสด. LAB'!I7+'2.5วสด. dent'!I7+'2.6วสด.เภสัช'!I7</f>
        <v>6197.5</v>
      </c>
      <c r="J7" s="35">
        <f>'2.1วสด.การแพทย์'!J7+'2.2วสด.สนง'!J7+'2.3วสด.งานบ้าน'!J7+'2.4วสด. LAB'!J7+'2.5วสด. dent'!J7+'2.6วสด.เภสัช'!J7</f>
        <v>2335.9</v>
      </c>
      <c r="K7" s="35">
        <f>'2.1วสด.การแพทย์'!K7+'2.2วสด.สนง'!K7+'2.3วสด.งานบ้าน'!K7+'2.4วสด. LAB'!K7+'2.5วสด. dent'!K7+'2.6วสด.เภสัช'!K7</f>
        <v>4451.2</v>
      </c>
      <c r="L7" s="35">
        <f>'2.1วสด.การแพทย์'!L7+'2.2วสด.สนง'!L7+'2.3วสด.งานบ้าน'!L7+'2.4วสด. LAB'!L7+'2.5วสด. dent'!L7+'2.6วสด.เภสัช'!L7</f>
        <v>38875.1</v>
      </c>
      <c r="M7" s="35">
        <f>'2.1วสด.การแพทย์'!M7+'2.2วสด.สนง'!M7+'2.3วสด.งานบ้าน'!M7+'2.4วสด. LAB'!M7+'2.5วสด. dent'!M7+'2.6วสด.เภสัช'!M7</f>
        <v>2507.1</v>
      </c>
      <c r="N7" s="35">
        <f>'2.1วสด.การแพทย์'!N7+'2.2วสด.สนง'!N7+'2.3วสด.งานบ้าน'!N7+'2.4วสด. LAB'!N7+'2.5วสด. dent'!N7+'2.6วสด.เภสัช'!N7</f>
        <v>4277.1000000000004</v>
      </c>
      <c r="O7" s="268">
        <f t="shared" si="1"/>
        <v>95936.37000000001</v>
      </c>
      <c r="P7" s="290">
        <f t="shared" si="0"/>
        <v>5.3855757842955883E-2</v>
      </c>
    </row>
    <row r="8" spans="1:17" ht="17.25" customHeight="1" x14ac:dyDescent="0.2">
      <c r="A8" s="256">
        <v>4</v>
      </c>
      <c r="B8" s="249" t="s">
        <v>21</v>
      </c>
      <c r="C8" s="35">
        <f>'2.1วสด.การแพทย์'!C8+'2.2วสด.สนง'!C8+'2.3วสด.งานบ้าน'!C8+'2.4วสด. LAB'!C8+'2.5วสด. dent'!C8+'2.6วสด.เภสัช'!C8</f>
        <v>17389.95</v>
      </c>
      <c r="D8" s="35">
        <f>'2.1วสด.การแพทย์'!D8+'2.2วสด.สนง'!D8+'2.3วสด.งานบ้าน'!D8+'2.4วสด. LAB'!D8+'2.5วสด. dent'!D8+'2.6วสด.เภสัช'!D8</f>
        <v>11449.22</v>
      </c>
      <c r="E8" s="35">
        <f>'2.1วสด.การแพทย์'!E8+'2.2วสด.สนง'!E8+'2.3วสด.งานบ้าน'!E8+'2.4วสด. LAB'!E8+'2.5วสด. dent'!E8+'2.6วสด.เภสัช'!E8</f>
        <v>2195.0500000000002</v>
      </c>
      <c r="F8" s="35">
        <f>'2.1วสด.การแพทย์'!F8+'2.2วสด.สนง'!F8+'2.3วสด.งานบ้าน'!F8+'2.4วสด. LAB'!F8+'2.5วสด. dent'!F8+'2.6วสด.เภสัช'!F8</f>
        <v>10351.289999999999</v>
      </c>
      <c r="G8" s="35">
        <f>'2.1วสด.การแพทย์'!G8+'2.2วสด.สนง'!G8+'2.3วสด.งานบ้าน'!G8+'2.4วสด. LAB'!G8+'2.5วสด. dent'!G8+'2.6วสด.เภสัช'!G8</f>
        <v>9963.69</v>
      </c>
      <c r="H8" s="35">
        <f>'2.1วสด.การแพทย์'!H8+'2.2วสด.สนง'!H8+'2.3วสด.งานบ้าน'!H8+'2.4วสด. LAB'!H8+'2.5วสด. dent'!H8+'2.6วสด.เภสัช'!H8</f>
        <v>0</v>
      </c>
      <c r="I8" s="35">
        <f>'2.1วสด.การแพทย์'!I8+'2.2วสด.สนง'!I8+'2.3วสด.งานบ้าน'!I8+'2.4วสด. LAB'!I8+'2.5วสด. dent'!I8+'2.6วสด.เภสัช'!I8</f>
        <v>6395</v>
      </c>
      <c r="J8" s="35">
        <f>'2.1วสด.การแพทย์'!J8+'2.2วสด.สนง'!J8+'2.3วสด.งานบ้าน'!J8+'2.4วสด. LAB'!J8+'2.5วสด. dent'!J8+'2.6วสด.เภสัช'!J8</f>
        <v>11060.91</v>
      </c>
      <c r="K8" s="35">
        <f>'2.1วสด.การแพทย์'!K8+'2.2วสด.สนง'!K8+'2.3วสด.งานบ้าน'!K8+'2.4วสด. LAB'!K8+'2.5วสด. dent'!K8+'2.6วสด.เภสัช'!K8</f>
        <v>4135.79</v>
      </c>
      <c r="L8" s="35">
        <f>'2.1วสด.การแพทย์'!L8+'2.2วสด.สนง'!L8+'2.3วสด.งานบ้าน'!L8+'2.4วสด. LAB'!L8+'2.5วสด. dent'!L8+'2.6วสด.เภสัช'!L8</f>
        <v>3707.9</v>
      </c>
      <c r="M8" s="35">
        <f>'2.1วสด.การแพทย์'!M8+'2.2วสด.สนง'!M8+'2.3วสด.งานบ้าน'!M8+'2.4วสด. LAB'!M8+'2.5วสด. dent'!M8+'2.6วสด.เภสัช'!M8</f>
        <v>7512.9000000000005</v>
      </c>
      <c r="N8" s="35">
        <f>'2.1วสด.การแพทย์'!N8+'2.2วสด.สนง'!N8+'2.3วสด.งานบ้าน'!N8+'2.4วสด. LAB'!N8+'2.5วสด. dent'!N8+'2.6วสด.เภสัช'!N8</f>
        <v>3863.0000000000005</v>
      </c>
      <c r="O8" s="268">
        <f t="shared" si="1"/>
        <v>88024.699999999983</v>
      </c>
      <c r="P8" s="290">
        <f t="shared" si="0"/>
        <v>4.9414387133876726E-2</v>
      </c>
    </row>
    <row r="9" spans="1:17" ht="17.25" customHeight="1" x14ac:dyDescent="0.2">
      <c r="A9" s="256">
        <v>5</v>
      </c>
      <c r="B9" s="249" t="s">
        <v>2</v>
      </c>
      <c r="C9" s="35">
        <f>'2.1วสด.การแพทย์'!C9+'2.2วสด.สนง'!C9+'2.3วสด.งานบ้าน'!C9+'2.4วสด. LAB'!C9+'2.5วสด. dent'!C9+'2.6วสด.เภสัช'!C9</f>
        <v>5817.8899999999994</v>
      </c>
      <c r="D9" s="35">
        <f>'2.1วสด.การแพทย์'!D9+'2.2วสด.สนง'!D9+'2.3วสด.งานบ้าน'!D9+'2.4วสด. LAB'!D9+'2.5วสด. dent'!D9+'2.6วสด.เภสัช'!D9</f>
        <v>24849.010000000002</v>
      </c>
      <c r="E9" s="35">
        <f>'2.1วสด.การแพทย์'!E9+'2.2วสด.สนง'!E9+'2.3วสด.งานบ้าน'!E9+'2.4วสด. LAB'!E9+'2.5วสด. dent'!E9+'2.6วสด.เภสัช'!E9</f>
        <v>2566.8000000000002</v>
      </c>
      <c r="F9" s="35">
        <f>'2.1วสด.การแพทย์'!F9+'2.2วสด.สนง'!F9+'2.3วสด.งานบ้าน'!F9+'2.4วสด. LAB'!F9+'2.5วสด. dent'!F9+'2.6วสด.เภสัช'!F9</f>
        <v>5380.4</v>
      </c>
      <c r="G9" s="35">
        <f>'2.1วสด.การแพทย์'!G9+'2.2วสด.สนง'!G9+'2.3วสด.งานบ้าน'!G9+'2.4วสด. LAB'!G9+'2.5วสด. dent'!G9+'2.6วสด.เภสัช'!G9</f>
        <v>5916.55</v>
      </c>
      <c r="H9" s="35">
        <f>'2.1วสด.การแพทย์'!H9+'2.2วสด.สนง'!H9+'2.3วสด.งานบ้าน'!H9+'2.4วสด. LAB'!H9+'2.5วสด. dent'!H9+'2.6วสด.เภสัช'!H9</f>
        <v>6422.5300000000007</v>
      </c>
      <c r="I9" s="35">
        <f>'2.1วสด.การแพทย์'!I9+'2.2วสด.สนง'!I9+'2.3วสด.งานบ้าน'!I9+'2.4วสด. LAB'!I9+'2.5วสด. dent'!I9+'2.6วสด.เภสัช'!I9</f>
        <v>2666.7</v>
      </c>
      <c r="J9" s="35">
        <f>'2.1วสด.การแพทย์'!J9+'2.2วสด.สนง'!J9+'2.3วสด.งานบ้าน'!J9+'2.4วสด. LAB'!J9+'2.5วสด. dent'!J9+'2.6วสด.เภสัช'!J9</f>
        <v>7616.71</v>
      </c>
      <c r="K9" s="35">
        <f>'2.1วสด.การแพทย์'!K9+'2.2วสด.สนง'!K9+'2.3วสด.งานบ้าน'!K9+'2.4วสด. LAB'!K9+'2.5วสด. dent'!K9+'2.6วสด.เภสัช'!K9</f>
        <v>8399.2000000000007</v>
      </c>
      <c r="L9" s="35">
        <f>'2.1วสด.การแพทย์'!L9+'2.2วสด.สนง'!L9+'2.3วสด.งานบ้าน'!L9+'2.4วสด. LAB'!L9+'2.5วสด. dent'!L9+'2.6วสด.เภสัช'!L9</f>
        <v>39245.58</v>
      </c>
      <c r="M9" s="35">
        <f>'2.1วสด.การแพทย์'!M9+'2.2วสด.สนง'!M9+'2.3วสด.งานบ้าน'!M9+'2.4วสด. LAB'!M9+'2.5วสด. dent'!M9+'2.6วสด.เภสัช'!M9</f>
        <v>15038.800000000001</v>
      </c>
      <c r="N9" s="35">
        <f>'2.1วสด.การแพทย์'!N9+'2.2วสด.สนง'!N9+'2.3วสด.งานบ้าน'!N9+'2.4วสด. LAB'!N9+'2.5วสด. dent'!N9+'2.6วสด.เภสัช'!N9</f>
        <v>1060.75</v>
      </c>
      <c r="O9" s="268">
        <f t="shared" si="1"/>
        <v>124980.92000000001</v>
      </c>
      <c r="P9" s="290">
        <f t="shared" si="0"/>
        <v>7.01604841053486E-2</v>
      </c>
    </row>
    <row r="10" spans="1:17" ht="17.25" customHeight="1" x14ac:dyDescent="0.2">
      <c r="A10" s="256">
        <v>6</v>
      </c>
      <c r="B10" s="249" t="s">
        <v>3</v>
      </c>
      <c r="C10" s="35">
        <f>'2.1วสด.การแพทย์'!C10+'2.2วสด.สนง'!C10+'2.3วสด.งานบ้าน'!C10+'2.4วสด. LAB'!C10+'2.5วสด. dent'!C10+'2.6วสด.เภสัช'!C10</f>
        <v>1000</v>
      </c>
      <c r="D10" s="35">
        <f>'2.1วสด.การแพทย์'!D10+'2.2วสด.สนง'!D10+'2.3วสด.งานบ้าน'!D10+'2.4วสด. LAB'!D10+'2.5วสด. dent'!D10+'2.6วสด.เภสัช'!D10</f>
        <v>3691.62</v>
      </c>
      <c r="E10" s="35">
        <f>'2.1วสด.การแพทย์'!E10+'2.2วสด.สนง'!E10+'2.3วสด.งานบ้าน'!E10+'2.4วสด. LAB'!E10+'2.5วสด. dent'!E10+'2.6วสด.เภสัช'!E10</f>
        <v>1424.72</v>
      </c>
      <c r="F10" s="35">
        <f>'2.1วสด.การแพทย์'!F10+'2.2วสด.สนง'!F10+'2.3วสด.งานบ้าน'!F10+'2.4วสด. LAB'!F10+'2.5วสด. dent'!F10+'2.6วสด.เภสัช'!F10</f>
        <v>5885.4</v>
      </c>
      <c r="G10" s="35">
        <f>'2.1วสด.การแพทย์'!G10+'2.2วสด.สนง'!G10+'2.3วสด.งานบ้าน'!G10+'2.4วสด. LAB'!G10+'2.5วสด. dent'!G10+'2.6วสด.เภสัช'!G10</f>
        <v>17572.45</v>
      </c>
      <c r="H10" s="35">
        <f>'2.1วสด.การแพทย์'!H10+'2.2วสด.สนง'!H10+'2.3วสด.งานบ้าน'!H10+'2.4วสด. LAB'!H10+'2.5วสด. dent'!H10+'2.6วสด.เภสัช'!H10</f>
        <v>1594</v>
      </c>
      <c r="I10" s="35">
        <f>'2.1วสด.การแพทย์'!I10+'2.2วสด.สนง'!I10+'2.3วสด.งานบ้าน'!I10+'2.4วสด. LAB'!I10+'2.5วสด. dent'!I10+'2.6วสด.เภสัช'!I10</f>
        <v>4041.68</v>
      </c>
      <c r="J10" s="35">
        <f>'2.1วสด.การแพทย์'!J10+'2.2วสด.สนง'!J10+'2.3วสด.งานบ้าน'!J10+'2.4วสด. LAB'!J10+'2.5วสด. dent'!J10+'2.6วสด.เภสัช'!J10</f>
        <v>5822.02</v>
      </c>
      <c r="K10" s="35">
        <f>'2.1วสด.การแพทย์'!K10+'2.2วสด.สนง'!K10+'2.3วสด.งานบ้าน'!K10+'2.4วสด. LAB'!K10+'2.5วสด. dent'!K10+'2.6วสด.เภสัช'!K10</f>
        <v>0</v>
      </c>
      <c r="L10" s="35">
        <f>'2.1วสด.การแพทย์'!L10+'2.2วสด.สนง'!L10+'2.3วสด.งานบ้าน'!L10+'2.4วสด. LAB'!L10+'2.5วสด. dent'!L10+'2.6วสด.เภสัช'!L10</f>
        <v>30386.11</v>
      </c>
      <c r="M10" s="35">
        <f>'2.1วสด.การแพทย์'!M10+'2.2วสด.สนง'!M10+'2.3วสด.งานบ้าน'!M10+'2.4วสด. LAB'!M10+'2.5วสด. dent'!M10+'2.6วสด.เภสัช'!M10</f>
        <v>8885.9599999999991</v>
      </c>
      <c r="N10" s="35">
        <f>'2.1วสด.การแพทย์'!N10+'2.2วสด.สนง'!N10+'2.3วสด.งานบ้าน'!N10+'2.4วสด. LAB'!N10+'2.5วสด. dent'!N10+'2.6วสด.เภสัช'!N10</f>
        <v>5158.8999999999996</v>
      </c>
      <c r="O10" s="268">
        <f t="shared" si="1"/>
        <v>85462.859999999986</v>
      </c>
      <c r="P10" s="290">
        <f t="shared" si="0"/>
        <v>4.7976248139537062E-2</v>
      </c>
    </row>
    <row r="11" spans="1:17" ht="17.25" customHeight="1" x14ac:dyDescent="0.2">
      <c r="A11" s="256">
        <v>7</v>
      </c>
      <c r="B11" s="249" t="s">
        <v>4</v>
      </c>
      <c r="C11" s="35">
        <f>'2.1วสด.การแพทย์'!C11+'2.2วสด.สนง'!C11+'2.3วสด.งานบ้าน'!C11+'2.4วสด. LAB'!C11+'2.5วสด. dent'!C11+'2.6วสด.เภสัช'!C11</f>
        <v>4345.3</v>
      </c>
      <c r="D11" s="35">
        <f>'2.1วสด.การแพทย์'!D11+'2.2วสด.สนง'!D11+'2.3วสด.งานบ้าน'!D11+'2.4วสด. LAB'!D11+'2.5วสด. dent'!D11+'2.6วสด.เภสัช'!D11</f>
        <v>9372.35</v>
      </c>
      <c r="E11" s="35">
        <f>'2.1วสด.การแพทย์'!E11+'2.2วสด.สนง'!E11+'2.3วสด.งานบ้าน'!E11+'2.4วสด. LAB'!E11+'2.5วสด. dent'!E11+'2.6วสด.เภสัช'!E11</f>
        <v>900</v>
      </c>
      <c r="F11" s="35">
        <f>'2.1วสด.การแพทย์'!F11+'2.2วสด.สนง'!F11+'2.3วสด.งานบ้าน'!F11+'2.4วสด. LAB'!F11+'2.5วสด. dent'!F11+'2.6วสด.เภสัช'!F11</f>
        <v>8478.9</v>
      </c>
      <c r="G11" s="35">
        <f>'2.1วสด.การแพทย์'!G11+'2.2วสด.สนง'!G11+'2.3วสด.งานบ้าน'!G11+'2.4วสด. LAB'!G11+'2.5วสด. dent'!G11+'2.6วสด.เภสัช'!G11</f>
        <v>12598.960000000001</v>
      </c>
      <c r="H11" s="35">
        <f>'2.1วสด.การแพทย์'!H11+'2.2วสด.สนง'!H11+'2.3วสด.งานบ้าน'!H11+'2.4วสด. LAB'!H11+'2.5วสด. dent'!H11+'2.6วสด.เภสัช'!H11</f>
        <v>1760</v>
      </c>
      <c r="I11" s="35">
        <f>'2.1วสด.การแพทย์'!I11+'2.2วสด.สนง'!I11+'2.3วสด.งานบ้าน'!I11+'2.4วสด. LAB'!I11+'2.5วสด. dent'!I11+'2.6วสด.เภสัช'!I11</f>
        <v>10294.830000000002</v>
      </c>
      <c r="J11" s="35">
        <f>'2.1วสด.การแพทย์'!J11+'2.2วสด.สนง'!J11+'2.3วสด.งานบ้าน'!J11+'2.4วสด. LAB'!J11+'2.5วสด. dent'!J11+'2.6วสด.เภสัช'!J11</f>
        <v>952</v>
      </c>
      <c r="K11" s="35">
        <f>'2.1วสด.การแพทย์'!K11+'2.2วสด.สนง'!K11+'2.3วสด.งานบ้าน'!K11+'2.4วสด. LAB'!K11+'2.5วสด. dent'!K11+'2.6วสด.เภสัช'!K11</f>
        <v>4723.5</v>
      </c>
      <c r="L11" s="35">
        <f>'2.1วสด.การแพทย์'!L11+'2.2วสด.สนง'!L11+'2.3วสด.งานบ้าน'!L11+'2.4วสด. LAB'!L11+'2.5วสด. dent'!L11+'2.6วสด.เภสัช'!L11</f>
        <v>0</v>
      </c>
      <c r="M11" s="35">
        <f>'2.1วสด.การแพทย์'!M11+'2.2วสด.สนง'!M11+'2.3วสด.งานบ้าน'!M11+'2.4วสด. LAB'!M11+'2.5วสด. dent'!M11+'2.6วสด.เภสัช'!M11</f>
        <v>0</v>
      </c>
      <c r="N11" s="35">
        <f>'2.1วสด.การแพทย์'!N11+'2.2วสด.สนง'!N11+'2.3วสด.งานบ้าน'!N11+'2.4วสด. LAB'!N11+'2.5วสด. dent'!N11+'2.6วสด.เภสัช'!N11</f>
        <v>17993.650000000001</v>
      </c>
      <c r="O11" s="268">
        <f t="shared" si="1"/>
        <v>71419.490000000005</v>
      </c>
      <c r="P11" s="290">
        <f t="shared" si="0"/>
        <v>4.0092727697612587E-2</v>
      </c>
    </row>
    <row r="12" spans="1:17" ht="17.25" customHeight="1" x14ac:dyDescent="0.2">
      <c r="A12" s="256">
        <v>8</v>
      </c>
      <c r="B12" s="249" t="s">
        <v>5</v>
      </c>
      <c r="C12" s="35">
        <f>'2.1วสด.การแพทย์'!C12+'2.2วสด.สนง'!C12+'2.3วสด.งานบ้าน'!C12+'2.4วสด. LAB'!C12+'2.5วสด. dent'!C12+'2.6วสด.เภสัช'!C12</f>
        <v>20214.95</v>
      </c>
      <c r="D12" s="35">
        <f>'2.1วสด.การแพทย์'!D12+'2.2วสด.สนง'!D12+'2.3วสด.งานบ้าน'!D12+'2.4วสด. LAB'!D12+'2.5วสด. dent'!D12+'2.6วสด.เภสัช'!D12</f>
        <v>12830.8</v>
      </c>
      <c r="E12" s="35">
        <f>'2.1วสด.การแพทย์'!E12+'2.2วสด.สนง'!E12+'2.3วสด.งานบ้าน'!E12+'2.4วสด. LAB'!E12+'2.5วสด. dent'!E12+'2.6วสด.เภสัช'!E12</f>
        <v>5187.3</v>
      </c>
      <c r="F12" s="35">
        <f>'2.1วสด.การแพทย์'!F12+'2.2วสด.สนง'!F12+'2.3วสด.งานบ้าน'!F12+'2.4วสด. LAB'!F12+'2.5วสด. dent'!F12+'2.6วสด.เภสัช'!F12</f>
        <v>11061.55</v>
      </c>
      <c r="G12" s="35">
        <f>'2.1วสด.การแพทย์'!G12+'2.2วสด.สนง'!G12+'2.3วสด.งานบ้าน'!G12+'2.4วสด. LAB'!G12+'2.5วสด. dent'!G12+'2.6วสด.เภสัช'!G12</f>
        <v>2751.24</v>
      </c>
      <c r="H12" s="35">
        <f>'2.1วสด.การแพทย์'!H12+'2.2วสด.สนง'!H12+'2.3วสด.งานบ้าน'!H12+'2.4วสด. LAB'!H12+'2.5วสด. dent'!H12+'2.6วสด.เภสัช'!H12</f>
        <v>7385.7000000000007</v>
      </c>
      <c r="I12" s="35">
        <f>'2.1วสด.การแพทย์'!I12+'2.2วสด.สนง'!I12+'2.3วสด.งานบ้าน'!I12+'2.4วสด. LAB'!I12+'2.5วสด. dent'!I12+'2.6วสด.เภสัช'!I12</f>
        <v>9889.58</v>
      </c>
      <c r="J12" s="35">
        <f>'2.1วสด.การแพทย์'!J12+'2.2วสด.สนง'!J12+'2.3วสด.งานบ้าน'!J12+'2.4วสด. LAB'!J12+'2.5วสด. dent'!J12+'2.6วสด.เภสัช'!J12</f>
        <v>3049.8</v>
      </c>
      <c r="K12" s="35">
        <f>'2.1วสด.การแพทย์'!K12+'2.2วสด.สนง'!K12+'2.3วสด.งานบ้าน'!K12+'2.4วสด. LAB'!K12+'2.5วสด. dent'!K12+'2.6วสด.เภสัช'!K12</f>
        <v>24994.98</v>
      </c>
      <c r="L12" s="35">
        <f>'2.1วสด.การแพทย์'!L12+'2.2วสด.สนง'!L12+'2.3วสด.งานบ้าน'!L12+'2.4วสด. LAB'!L12+'2.5วสด. dent'!L12+'2.6วสด.เภสัช'!L12</f>
        <v>124663.19</v>
      </c>
      <c r="M12" s="35">
        <f>'2.1วสด.การแพทย์'!M12+'2.2วสด.สนง'!M12+'2.3วสด.งานบ้าน'!M12+'2.4วสด. LAB'!M12+'2.5วสด. dent'!M12+'2.6วสด.เภสัช'!M12</f>
        <v>1159.5999999999999</v>
      </c>
      <c r="N12" s="35">
        <f>'2.1วสด.การแพทย์'!N12+'2.2วสด.สนง'!N12+'2.3วสด.งานบ้าน'!N12+'2.4วสด. LAB'!N12+'2.5วสด. dent'!N12+'2.6วสด.เภสัช'!N12</f>
        <v>18825.93</v>
      </c>
      <c r="O12" s="268">
        <f t="shared" si="1"/>
        <v>242014.62000000002</v>
      </c>
      <c r="P12" s="290">
        <f t="shared" si="0"/>
        <v>0.13585964081374965</v>
      </c>
    </row>
    <row r="13" spans="1:17" ht="17.25" customHeight="1" x14ac:dyDescent="0.2">
      <c r="A13" s="256">
        <v>9</v>
      </c>
      <c r="B13" s="249" t="s">
        <v>6</v>
      </c>
      <c r="C13" s="35">
        <f>'2.1วสด.การแพทย์'!C13+'2.2วสด.สนง'!C13+'2.3วสด.งานบ้าน'!C13+'2.4วสด. LAB'!C13+'2.5วสด. dent'!C13+'2.6วสด.เภสัช'!C13</f>
        <v>3079.59</v>
      </c>
      <c r="D13" s="35">
        <f>'2.1วสด.การแพทย์'!D13+'2.2วสด.สนง'!D13+'2.3วสด.งานบ้าน'!D13+'2.4วสด. LAB'!D13+'2.5วสด. dent'!D13+'2.6วสด.เภสัช'!D13</f>
        <v>24546.58</v>
      </c>
      <c r="E13" s="35">
        <f>'2.1วสด.การแพทย์'!E13+'2.2วสด.สนง'!E13+'2.3วสด.งานบ้าน'!E13+'2.4วสด. LAB'!E13+'2.5วสด. dent'!E13+'2.6วสด.เภสัช'!E13</f>
        <v>1575</v>
      </c>
      <c r="F13" s="35">
        <f>'2.1วสด.การแพทย์'!F13+'2.2วสด.สนง'!F13+'2.3วสด.งานบ้าน'!F13+'2.4วสด. LAB'!F13+'2.5วสด. dent'!F13+'2.6วสด.เภสัช'!F13</f>
        <v>9310.68</v>
      </c>
      <c r="G13" s="35">
        <f>'2.1วสด.การแพทย์'!G13+'2.2วสด.สนง'!G13+'2.3วสด.งานบ้าน'!G13+'2.4วสด. LAB'!G13+'2.5วสด. dent'!G13+'2.6วสด.เภสัช'!G13</f>
        <v>2535.66</v>
      </c>
      <c r="H13" s="35">
        <f>'2.1วสด.การแพทย์'!H13+'2.2วสด.สนง'!H13+'2.3วสด.งานบ้าน'!H13+'2.4วสด. LAB'!H13+'2.5วสด. dent'!H13+'2.6วสด.เภสัช'!H13</f>
        <v>2067.4</v>
      </c>
      <c r="I13" s="35">
        <f>'2.1วสด.การแพทย์'!I13+'2.2วสด.สนง'!I13+'2.3วสด.งานบ้าน'!I13+'2.4วสด. LAB'!I13+'2.5วสด. dent'!I13+'2.6วสด.เภสัช'!I13</f>
        <v>15470.759999999998</v>
      </c>
      <c r="J13" s="35">
        <f>'2.1วสด.การแพทย์'!J13+'2.2วสด.สนง'!J13+'2.3วสด.งานบ้าน'!J13+'2.4วสด. LAB'!J13+'2.5วสด. dent'!J13+'2.6วสด.เภสัช'!J13</f>
        <v>2629</v>
      </c>
      <c r="K13" s="35">
        <f>'2.1วสด.การแพทย์'!K13+'2.2วสด.สนง'!K13+'2.3วสด.งานบ้าน'!K13+'2.4วสด. LAB'!K13+'2.5วสด. dent'!K13+'2.6วสด.เภสัช'!K13</f>
        <v>7185.5</v>
      </c>
      <c r="L13" s="35">
        <f>'2.1วสด.การแพทย์'!L13+'2.2วสด.สนง'!L13+'2.3วสด.งานบ้าน'!L13+'2.4วสด. LAB'!L13+'2.5วสด. dent'!L13+'2.6วสด.เภสัช'!L13</f>
        <v>7112.72</v>
      </c>
      <c r="M13" s="35">
        <f>'2.1วสด.การแพทย์'!M13+'2.2วสด.สนง'!M13+'2.3วสด.งานบ้าน'!M13+'2.4วสด. LAB'!M13+'2.5วสด. dent'!M13+'2.6วสด.เภสัช'!M13</f>
        <v>4604.6900000000005</v>
      </c>
      <c r="N13" s="35">
        <f>'2.1วสด.การแพทย์'!N13+'2.2วสด.สนง'!N13+'2.3วสด.งานบ้าน'!N13+'2.4วสด. LAB'!N13+'2.5วสด. dent'!N13+'2.6วสด.เภสัช'!N13</f>
        <v>10344.6</v>
      </c>
      <c r="O13" s="268">
        <f t="shared" si="1"/>
        <v>90462.180000000022</v>
      </c>
      <c r="P13" s="290">
        <f t="shared" si="0"/>
        <v>5.0782714209698446E-2</v>
      </c>
    </row>
    <row r="14" spans="1:17" ht="17.25" customHeight="1" x14ac:dyDescent="0.2">
      <c r="A14" s="256">
        <v>10</v>
      </c>
      <c r="B14" s="249" t="s">
        <v>7</v>
      </c>
      <c r="C14" s="35">
        <f>'2.1วสด.การแพทย์'!C14+'2.2วสด.สนง'!C14+'2.3วสด.งานบ้าน'!C14+'2.4วสด. LAB'!C14+'2.5วสด. dent'!C14+'2.6วสด.เภสัช'!C14</f>
        <v>3763.37</v>
      </c>
      <c r="D14" s="35">
        <f>'2.1วสด.การแพทย์'!D14+'2.2วสด.สนง'!D14+'2.3วสด.งานบ้าน'!D14+'2.4วสด. LAB'!D14+'2.5วสด. dent'!D14+'2.6วสด.เภสัช'!D14</f>
        <v>6608.97</v>
      </c>
      <c r="E14" s="35">
        <f>'2.1วสด.การแพทย์'!E14+'2.2วสด.สนง'!E14+'2.3วสด.งานบ้าน'!E14+'2.4วสด. LAB'!E14+'2.5วสด. dent'!E14+'2.6วสด.เภสัช'!E14</f>
        <v>730</v>
      </c>
      <c r="F14" s="35">
        <f>'2.1วสด.การแพทย์'!F14+'2.2วสด.สนง'!F14+'2.3วสด.งานบ้าน'!F14+'2.4วสด. LAB'!F14+'2.5วสด. dent'!F14+'2.6วสด.เภสัช'!F14</f>
        <v>3431.21</v>
      </c>
      <c r="G14" s="35">
        <f>'2.1วสด.การแพทย์'!G14+'2.2วสด.สนง'!G14+'2.3วสด.งานบ้าน'!G14+'2.4วสด. LAB'!G14+'2.5วสด. dent'!G14+'2.6วสด.เภสัช'!G14</f>
        <v>4768.8500000000004</v>
      </c>
      <c r="H14" s="35">
        <f>'2.1วสด.การแพทย์'!H14+'2.2วสด.สนง'!H14+'2.3วสด.งานบ้าน'!H14+'2.4วสด. LAB'!H14+'2.5วสด. dent'!H14+'2.6วสด.เภสัช'!H14</f>
        <v>4831.42</v>
      </c>
      <c r="I14" s="35">
        <f>'2.1วสด.การแพทย์'!I14+'2.2วสด.สนง'!I14+'2.3วสด.งานบ้าน'!I14+'2.4วสด. LAB'!I14+'2.5วสด. dent'!I14+'2.6วสด.เภสัช'!I14</f>
        <v>0</v>
      </c>
      <c r="J14" s="35">
        <f>'2.1วสด.การแพทย์'!J14+'2.2วสด.สนง'!J14+'2.3วสด.งานบ้าน'!J14+'2.4วสด. LAB'!J14+'2.5วสด. dent'!J14+'2.6วสด.เภสัช'!J14</f>
        <v>9388.48</v>
      </c>
      <c r="K14" s="35">
        <f>'2.1วสด.การแพทย์'!K14+'2.2วสด.สนง'!K14+'2.3วสด.งานบ้าน'!K14+'2.4วสด. LAB'!K14+'2.5วสด. dent'!K14+'2.6วสด.เภสัช'!K14</f>
        <v>1086.7</v>
      </c>
      <c r="L14" s="35">
        <f>'2.1วสด.การแพทย์'!L14+'2.2วสด.สนง'!L14+'2.3วสด.งานบ้าน'!L14+'2.4วสด. LAB'!L14+'2.5วสด. dent'!L14+'2.6วสด.เภสัช'!L14</f>
        <v>6319.34</v>
      </c>
      <c r="M14" s="35">
        <f>'2.1วสด.การแพทย์'!M14+'2.2วสด.สนง'!M14+'2.3วสด.งานบ้าน'!M14+'2.4วสด. LAB'!M14+'2.5วสด. dent'!M14+'2.6วสด.เภสัช'!M14</f>
        <v>2944.34</v>
      </c>
      <c r="N14" s="35">
        <f>'2.1วสด.การแพทย์'!N14+'2.2วสด.สนง'!N14+'2.3วสด.งานบ้าน'!N14+'2.4วสด. LAB'!N14+'2.5วสด. dent'!N14+'2.6วสด.เภสัช'!N14</f>
        <v>2822.54</v>
      </c>
      <c r="O14" s="268">
        <f t="shared" si="1"/>
        <v>46695.219999999994</v>
      </c>
      <c r="P14" s="290">
        <f t="shared" si="0"/>
        <v>2.6213275119160228E-2</v>
      </c>
    </row>
    <row r="15" spans="1:17" ht="17.25" customHeight="1" x14ac:dyDescent="0.2">
      <c r="A15" s="256">
        <v>11</v>
      </c>
      <c r="B15" s="249" t="s">
        <v>8</v>
      </c>
      <c r="C15" s="35">
        <f>'2.1วสด.การแพทย์'!C15+'2.2วสด.สนง'!C15+'2.3วสด.งานบ้าน'!C15+'2.4วสด. LAB'!C15+'2.5วสด. dent'!C15+'2.6วสด.เภสัช'!C15</f>
        <v>5742.42</v>
      </c>
      <c r="D15" s="35">
        <f>'2.1วสด.การแพทย์'!D15+'2.2วสด.สนง'!D15+'2.3วสด.งานบ้าน'!D15+'2.4วสด. LAB'!D15+'2.5วสด. dent'!D15+'2.6วสด.เภสัช'!D15</f>
        <v>6070.19</v>
      </c>
      <c r="E15" s="35">
        <f>'2.1วสด.การแพทย์'!E15+'2.2วสด.สนง'!E15+'2.3วสด.งานบ้าน'!E15+'2.4วสด. LAB'!E15+'2.5วสด. dent'!E15+'2.6วสด.เภสัช'!E15</f>
        <v>10567</v>
      </c>
      <c r="F15" s="35">
        <f>'2.1วสด.การแพทย์'!F15+'2.2วสด.สนง'!F15+'2.3วสด.งานบ้าน'!F15+'2.4วสด. LAB'!F15+'2.5วสด. dent'!F15+'2.6วสด.เภสัช'!F15</f>
        <v>13846.2</v>
      </c>
      <c r="G15" s="35">
        <f>'2.1วสด.การแพทย์'!G15+'2.2วสด.สนง'!G15+'2.3วสด.งานบ้าน'!G15+'2.4วสด. LAB'!G15+'2.5วสด. dent'!G15+'2.6วสด.เภสัช'!G15</f>
        <v>2807.3</v>
      </c>
      <c r="H15" s="35">
        <f>'2.1วสด.การแพทย์'!H15+'2.2วสด.สนง'!H15+'2.3วสด.งานบ้าน'!H15+'2.4วสด. LAB'!H15+'2.5วสด. dent'!H15+'2.6วสด.เภสัช'!H15</f>
        <v>758.3</v>
      </c>
      <c r="I15" s="35">
        <f>'2.1วสด.การแพทย์'!I15+'2.2วสด.สนง'!I15+'2.3วสด.งานบ้าน'!I15+'2.4วสด. LAB'!I15+'2.5วสด. dent'!I15+'2.6วสด.เภสัช'!I15</f>
        <v>6905</v>
      </c>
      <c r="J15" s="35">
        <f>'2.1วสด.การแพทย์'!J15+'2.2วสด.สนง'!J15+'2.3วสด.งานบ้าน'!J15+'2.4วสด. LAB'!J15+'2.5วสด. dent'!J15+'2.6วสด.เภสัช'!J15</f>
        <v>5285.8</v>
      </c>
      <c r="K15" s="35">
        <f>'2.1วสด.การแพทย์'!K15+'2.2วสด.สนง'!K15+'2.3วสด.งานบ้าน'!K15+'2.4วสด. LAB'!K15+'2.5วสด. dent'!K15+'2.6วสด.เภสัช'!K15</f>
        <v>7963.2</v>
      </c>
      <c r="L15" s="35">
        <f>'2.1วสด.การแพทย์'!L15+'2.2วสด.สนง'!L15+'2.3วสด.งานบ้าน'!L15+'2.4วสด. LAB'!L15+'2.5วสด. dent'!L15+'2.6วสด.เภสัช'!L15</f>
        <v>1511.1699999999998</v>
      </c>
      <c r="M15" s="35">
        <f>'2.1วสด.การแพทย์'!M15+'2.2วสด.สนง'!M15+'2.3วสด.งานบ้าน'!M15+'2.4วสด. LAB'!M15+'2.5วสด. dent'!M15+'2.6วสด.เภสัช'!M15</f>
        <v>8288.43</v>
      </c>
      <c r="N15" s="35">
        <f>'2.1วสด.การแพทย์'!N15+'2.2วสด.สนง'!N15+'2.3วสด.งานบ้าน'!N15+'2.4วสด. LAB'!N15+'2.5วสด. dent'!N15+'2.6วสด.เภสัช'!N15</f>
        <v>1216.8</v>
      </c>
      <c r="O15" s="268">
        <f t="shared" si="1"/>
        <v>70961.810000000012</v>
      </c>
      <c r="P15" s="290">
        <f t="shared" si="0"/>
        <v>3.9835800077257934E-2</v>
      </c>
    </row>
    <row r="16" spans="1:17" ht="17.25" customHeight="1" x14ac:dyDescent="0.2">
      <c r="A16" s="256">
        <v>12</v>
      </c>
      <c r="B16" s="249" t="s">
        <v>9</v>
      </c>
      <c r="C16" s="35">
        <f>'2.1วสด.การแพทย์'!C16+'2.2วสด.สนง'!C16+'2.3วสด.งานบ้าน'!C16+'2.4วสด. LAB'!C16+'2.5วสด. dent'!C16+'2.6วสด.เภสัช'!C16</f>
        <v>10972.11</v>
      </c>
      <c r="D16" s="35">
        <f>'2.1วสด.การแพทย์'!D16+'2.2วสด.สนง'!D16+'2.3วสด.งานบ้าน'!D16+'2.4วสด. LAB'!D16+'2.5วสด. dent'!D16+'2.6วสด.เภสัช'!D16</f>
        <v>1268.0999999999999</v>
      </c>
      <c r="E16" s="35">
        <f>'2.1วสด.การแพทย์'!E16+'2.2วสด.สนง'!E16+'2.3วสด.งานบ้าน'!E16+'2.4วสด. LAB'!E16+'2.5วสด. dent'!E16+'2.6วสด.เภสัช'!E16</f>
        <v>1931.82</v>
      </c>
      <c r="F16" s="35">
        <f>'2.1วสด.การแพทย์'!F16+'2.2วสด.สนง'!F16+'2.3วสด.งานบ้าน'!F16+'2.4วสด. LAB'!F16+'2.5วสด. dent'!F16+'2.6วสด.เภสัช'!F16</f>
        <v>2815.37</v>
      </c>
      <c r="G16" s="35">
        <f>'2.1วสด.การแพทย์'!G16+'2.2วสด.สนง'!G16+'2.3วสด.งานบ้าน'!G16+'2.4วสด. LAB'!G16+'2.5วสด. dent'!G16+'2.6วสด.เภสัช'!G16</f>
        <v>3961.72</v>
      </c>
      <c r="H16" s="35">
        <f>'2.1วสด.การแพทย์'!H16+'2.2วสด.สนง'!H16+'2.3วสด.งานบ้าน'!H16+'2.4วสด. LAB'!H16+'2.5วสด. dent'!H16+'2.6วสด.เภสัช'!H16</f>
        <v>1495.45</v>
      </c>
      <c r="I16" s="35">
        <f>'2.1วสด.การแพทย์'!I16+'2.2วสด.สนง'!I16+'2.3วสด.งานบ้าน'!I16+'2.4วสด. LAB'!I16+'2.5วสด. dent'!I16+'2.6วสด.เภสัช'!I16</f>
        <v>3063.5</v>
      </c>
      <c r="J16" s="35">
        <f>'2.1วสด.การแพทย์'!J16+'2.2วสด.สนง'!J16+'2.3วสด.งานบ้าน'!J16+'2.4วสด. LAB'!J16+'2.5วสด. dent'!J16+'2.6วสด.เภสัช'!J16</f>
        <v>5197.76</v>
      </c>
      <c r="K16" s="35">
        <f>'2.1วสด.การแพทย์'!K16+'2.2วสด.สนง'!K16+'2.3วสด.งานบ้าน'!K16+'2.4วสด. LAB'!K16+'2.5วสด. dent'!K16+'2.6วสด.เภสัช'!K16</f>
        <v>4368.0600000000004</v>
      </c>
      <c r="L16" s="35">
        <f>'2.1วสด.การแพทย์'!L16+'2.2วสด.สนง'!L16+'2.3วสด.งานบ้าน'!L16+'2.4วสด. LAB'!L16+'2.5วสด. dent'!L16+'2.6วสด.เภสัช'!L16</f>
        <v>5720.51</v>
      </c>
      <c r="M16" s="35">
        <f>'2.1วสด.การแพทย์'!M16+'2.2วสด.สนง'!M16+'2.3วสด.งานบ้าน'!M16+'2.4วสด. LAB'!M16+'2.5วสด. dent'!M16+'2.6วสด.เภสัช'!M16</f>
        <v>4381.9399999999996</v>
      </c>
      <c r="N16" s="35">
        <f>'2.1วสด.การแพทย์'!N16+'2.2วสด.สนง'!N16+'2.3วสด.งานบ้าน'!N16+'2.4วสด. LAB'!N16+'2.5วสด. dent'!N16+'2.6วสด.เภสัช'!N16</f>
        <v>7116.46</v>
      </c>
      <c r="O16" s="268">
        <f t="shared" si="1"/>
        <v>52292.800000000003</v>
      </c>
      <c r="P16" s="290">
        <f t="shared" si="0"/>
        <v>2.935558614246217E-2</v>
      </c>
    </row>
    <row r="17" spans="1:16" ht="17.25" customHeight="1" x14ac:dyDescent="0.2">
      <c r="A17" s="256">
        <v>13</v>
      </c>
      <c r="B17" s="249" t="s">
        <v>10</v>
      </c>
      <c r="C17" s="35">
        <f>'2.1วสด.การแพทย์'!C17+'2.2วสด.สนง'!C17+'2.3วสด.งานบ้าน'!C17+'2.4วสด. LAB'!C17+'2.5วสด. dent'!C17+'2.6วสด.เภสัช'!C17</f>
        <v>0</v>
      </c>
      <c r="D17" s="35">
        <f>'2.1วสด.การแพทย์'!D17+'2.2วสด.สนง'!D17+'2.3วสด.งานบ้าน'!D17+'2.4วสด. LAB'!D17+'2.5วสด. dent'!D17+'2.6วสด.เภสัช'!D17</f>
        <v>14910.93</v>
      </c>
      <c r="E17" s="35">
        <f>'2.1วสด.การแพทย์'!E17+'2.2วสด.สนง'!E17+'2.3วสด.งานบ้าน'!E17+'2.4วสด. LAB'!E17+'2.5วสด. dent'!E17+'2.6วสด.เภสัช'!E17</f>
        <v>4895.9500000000007</v>
      </c>
      <c r="F17" s="35">
        <f>'2.1วสด.การแพทย์'!F17+'2.2วสด.สนง'!F17+'2.3วสด.งานบ้าน'!F17+'2.4วสด. LAB'!F17+'2.5วสด. dent'!F17+'2.6วสด.เภสัช'!F17</f>
        <v>1923.33</v>
      </c>
      <c r="G17" s="35">
        <f>'2.1วสด.การแพทย์'!G17+'2.2วสด.สนง'!G17+'2.3วสด.งานบ้าน'!G17+'2.4วสด. LAB'!G17+'2.5วสด. dent'!G17+'2.6วสด.เภสัช'!G17</f>
        <v>9601.7899999999991</v>
      </c>
      <c r="H17" s="35">
        <f>'2.1วสด.การแพทย์'!H17+'2.2วสด.สนง'!H17+'2.3วสด.งานบ้าน'!H17+'2.4วสด. LAB'!H17+'2.5วสด. dent'!H17+'2.6วสด.เภสัช'!H17</f>
        <v>759.7</v>
      </c>
      <c r="I17" s="35">
        <f>'2.1วสด.การแพทย์'!I17+'2.2วสด.สนง'!I17+'2.3วสด.งานบ้าน'!I17+'2.4วสด. LAB'!I17+'2.5วสด. dent'!I17+'2.6วสด.เภสัช'!I17</f>
        <v>9339</v>
      </c>
      <c r="J17" s="35">
        <f>'2.1วสด.การแพทย์'!J17+'2.2วสด.สนง'!J17+'2.3วสด.งานบ้าน'!J17+'2.4วสด. LAB'!J17+'2.5วสด. dent'!J17+'2.6วสด.เภสัช'!J17</f>
        <v>7828.0599999999995</v>
      </c>
      <c r="K17" s="35">
        <f>'2.1วสด.การแพทย์'!K17+'2.2วสด.สนง'!K17+'2.3วสด.งานบ้าน'!K17+'2.4วสด. LAB'!K17+'2.5วสด. dent'!K17+'2.6วสด.เภสัช'!K17</f>
        <v>3301.4</v>
      </c>
      <c r="L17" s="35">
        <f>'2.1วสด.การแพทย์'!L17+'2.2วสด.สนง'!L17+'2.3วสด.งานบ้าน'!L17+'2.4วสด. LAB'!L17+'2.5วสด. dent'!L17+'2.6วสด.เภสัช'!L17</f>
        <v>8405.93</v>
      </c>
      <c r="M17" s="35">
        <f>'2.1วสด.การแพทย์'!M17+'2.2วสด.สนง'!M17+'2.3วสด.งานบ้าน'!M17+'2.4วสด. LAB'!M17+'2.5วสด. dent'!M17+'2.6วสด.เภสัช'!M17</f>
        <v>7568.85</v>
      </c>
      <c r="N17" s="35">
        <f>'2.1วสด.การแพทย์'!N17+'2.2วสด.สนง'!N17+'2.3วสด.งานบ้าน'!N17+'2.4วสด. LAB'!N17+'2.5วสด. dent'!N17+'2.6วสด.เภสัช'!N17</f>
        <v>13126.12</v>
      </c>
      <c r="O17" s="268">
        <f t="shared" si="1"/>
        <v>81661.06</v>
      </c>
      <c r="P17" s="290">
        <f t="shared" si="0"/>
        <v>4.5842033345217151E-2</v>
      </c>
    </row>
    <row r="18" spans="1:16" ht="17.25" customHeight="1" x14ac:dyDescent="0.2">
      <c r="A18" s="256">
        <v>14</v>
      </c>
      <c r="B18" s="249" t="s">
        <v>11</v>
      </c>
      <c r="C18" s="35">
        <f>'2.1วสด.การแพทย์'!C18+'2.2วสด.สนง'!C18+'2.3วสด.งานบ้าน'!C18+'2.4วสด. LAB'!C18+'2.5วสด. dent'!C18+'2.6วสด.เภสัช'!C18</f>
        <v>0</v>
      </c>
      <c r="D18" s="35">
        <f>'2.1วสด.การแพทย์'!D18+'2.2วสด.สนง'!D18+'2.3วสด.งานบ้าน'!D18+'2.4วสด. LAB'!D18+'2.5วสด. dent'!D18+'2.6วสด.เภสัช'!D18</f>
        <v>4083.81</v>
      </c>
      <c r="E18" s="35">
        <f>'2.1วสด.การแพทย์'!E18+'2.2วสด.สนง'!E18+'2.3วสด.งานบ้าน'!E18+'2.4วสด. LAB'!E18+'2.5วสด. dent'!E18+'2.6วสด.เภสัช'!E18</f>
        <v>4449.6499999999996</v>
      </c>
      <c r="F18" s="35">
        <f>'2.1วสด.การแพทย์'!F18+'2.2วสด.สนง'!F18+'2.3วสด.งานบ้าน'!F18+'2.4วสด. LAB'!F18+'2.5วสด. dent'!F18+'2.6วสด.เภสัช'!F18</f>
        <v>4608.6499999999996</v>
      </c>
      <c r="G18" s="35">
        <f>'2.1วสด.การแพทย์'!G18+'2.2วสด.สนง'!G18+'2.3วสด.งานบ้าน'!G18+'2.4วสด. LAB'!G18+'2.5วสด. dent'!G18+'2.6วสด.เภสัช'!G18</f>
        <v>65</v>
      </c>
      <c r="H18" s="35">
        <f>'2.1วสด.การแพทย์'!H18+'2.2วสด.สนง'!H18+'2.3วสด.งานบ้าน'!H18+'2.4วสด. LAB'!H18+'2.5วสด. dent'!H18+'2.6วสด.เภสัช'!H18</f>
        <v>2604.12</v>
      </c>
      <c r="I18" s="35">
        <f>'2.1วสด.การแพทย์'!I18+'2.2วสด.สนง'!I18+'2.3วสด.งานบ้าน'!I18+'2.4วสด. LAB'!I18+'2.5วสด. dent'!I18+'2.6วสด.เภสัช'!I18</f>
        <v>0</v>
      </c>
      <c r="J18" s="35">
        <f>'2.1วสด.การแพทย์'!J18+'2.2วสด.สนง'!J18+'2.3วสด.งานบ้าน'!J18+'2.4วสด. LAB'!J18+'2.5วสด. dent'!J18+'2.6วสด.เภสัช'!J18</f>
        <v>1699.35</v>
      </c>
      <c r="K18" s="35">
        <f>'2.1วสด.การแพทย์'!K18+'2.2วสด.สนง'!K18+'2.3วสด.งานบ้าน'!K18+'2.4วสด. LAB'!K18+'2.5วสด. dent'!K18+'2.6วสด.เภสัช'!K18</f>
        <v>823</v>
      </c>
      <c r="L18" s="35">
        <f>'2.1วสด.การแพทย์'!L18+'2.2วสด.สนง'!L18+'2.3วสด.งานบ้าน'!L18+'2.4วสด. LAB'!L18+'2.5วสด. dent'!L18+'2.6วสด.เภสัช'!L18</f>
        <v>6671.92</v>
      </c>
      <c r="M18" s="35">
        <f>'2.1วสด.การแพทย์'!M18+'2.2วสด.สนง'!M18+'2.3วสด.งานบ้าน'!M18+'2.4วสด. LAB'!M18+'2.5วสด. dent'!M18+'2.6วสด.เภสัช'!M18</f>
        <v>6346.8200000000006</v>
      </c>
      <c r="N18" s="35">
        <f>'2.1วสด.การแพทย์'!N18+'2.2วสด.สนง'!N18+'2.3วสด.งานบ้าน'!N18+'2.4วสด. LAB'!N18+'2.5วสด. dent'!N18+'2.6วสด.เภสัช'!N18</f>
        <v>0</v>
      </c>
      <c r="O18" s="268">
        <f t="shared" si="1"/>
        <v>31352.32</v>
      </c>
      <c r="P18" s="290">
        <f t="shared" si="0"/>
        <v>1.7600238092548869E-2</v>
      </c>
    </row>
    <row r="19" spans="1:16" ht="17.25" customHeight="1" x14ac:dyDescent="0.2">
      <c r="A19" s="256">
        <v>15</v>
      </c>
      <c r="B19" s="249" t="s">
        <v>12</v>
      </c>
      <c r="C19" s="35">
        <f>'2.1วสด.การแพทย์'!C19+'2.2วสด.สนง'!C19+'2.3วสด.งานบ้าน'!C19+'2.4วสด. LAB'!C19+'2.5วสด. dent'!C19+'2.6วสด.เภสัช'!C19</f>
        <v>4681.12</v>
      </c>
      <c r="D19" s="35">
        <f>'2.1วสด.การแพทย์'!D19+'2.2วสด.สนง'!D19+'2.3วสด.งานบ้าน'!D19+'2.4วสด. LAB'!D19+'2.5วสด. dent'!D19+'2.6วสด.เภสัช'!D19</f>
        <v>17743.36</v>
      </c>
      <c r="E19" s="35">
        <f>'2.1วสด.การแพทย์'!E19+'2.2วสด.สนง'!E19+'2.3วสด.งานบ้าน'!E19+'2.4วสด. LAB'!E19+'2.5วสด. dent'!E19+'2.6วสด.เภสัช'!E19</f>
        <v>15437.4</v>
      </c>
      <c r="F19" s="35">
        <f>'2.1วสด.การแพทย์'!F19+'2.2วสด.สนง'!F19+'2.3วสด.งานบ้าน'!F19+'2.4วสด. LAB'!F19+'2.5วสด. dent'!F19+'2.6วสด.เภสัช'!F19</f>
        <v>3913.4700000000003</v>
      </c>
      <c r="G19" s="35">
        <f>'2.1วสด.การแพทย์'!G19+'2.2วสด.สนง'!G19+'2.3วสด.งานบ้าน'!G19+'2.4วสด. LAB'!G19+'2.5วสด. dent'!G19+'2.6วสด.เภสัช'!G19</f>
        <v>1757</v>
      </c>
      <c r="H19" s="35">
        <f>'2.1วสด.การแพทย์'!H19+'2.2วสด.สนง'!H19+'2.3วสด.งานบ้าน'!H19+'2.4วสด. LAB'!H19+'2.5วสด. dent'!H19+'2.6วสด.เภสัช'!H19</f>
        <v>11844.61</v>
      </c>
      <c r="I19" s="35">
        <f>'2.1วสด.การแพทย์'!I19+'2.2วสด.สนง'!I19+'2.3วสด.งานบ้าน'!I19+'2.4วสด. LAB'!I19+'2.5วสด. dent'!I19+'2.6วสด.เภสัช'!I19</f>
        <v>11160.94</v>
      </c>
      <c r="J19" s="35">
        <f>'2.1วสด.การแพทย์'!J19+'2.2วสด.สนง'!J19+'2.3วสด.งานบ้าน'!J19+'2.4วสด. LAB'!J19+'2.5วสด. dent'!J19+'2.6วสด.เภสัช'!J19</f>
        <v>6848.6</v>
      </c>
      <c r="K19" s="35">
        <f>'2.1วสด.การแพทย์'!K19+'2.2วสด.สนง'!K19+'2.3วสด.งานบ้าน'!K19+'2.4วสด. LAB'!K19+'2.5วสด. dent'!K19+'2.6วสด.เภสัช'!K19</f>
        <v>13622.4</v>
      </c>
      <c r="L19" s="35">
        <f>'2.1วสด.การแพทย์'!L19+'2.2วสด.สนง'!L19+'2.3วสด.งานบ้าน'!L19+'2.4วสด. LAB'!L19+'2.5วสด. dent'!L19+'2.6วสด.เภสัช'!L19</f>
        <v>4130</v>
      </c>
      <c r="M19" s="35">
        <f>'2.1วสด.การแพทย์'!M19+'2.2วสด.สนง'!M19+'2.3วสด.งานบ้าน'!M19+'2.4วสด. LAB'!M19+'2.5วสด. dent'!M19+'2.6วสด.เภสัช'!M19</f>
        <v>11907.94</v>
      </c>
      <c r="N19" s="35">
        <f>'2.1วสด.การแพทย์'!N19+'2.2วสด.สนง'!N19+'2.3วสด.งานบ้าน'!N19+'2.4วสด. LAB'!N19+'2.5วสด. dent'!N19+'2.6วสด.เภสัช'!N19</f>
        <v>3561.6000000000004</v>
      </c>
      <c r="O19" s="268">
        <f t="shared" si="1"/>
        <v>106608.44</v>
      </c>
      <c r="P19" s="290">
        <f t="shared" si="0"/>
        <v>5.9846733086266361E-2</v>
      </c>
    </row>
    <row r="20" spans="1:16" ht="17.25" customHeight="1" x14ac:dyDescent="0.2">
      <c r="A20" s="256">
        <v>16</v>
      </c>
      <c r="B20" s="249" t="s">
        <v>13</v>
      </c>
      <c r="C20" s="35">
        <f>'2.1วสด.การแพทย์'!C20+'2.2วสด.สนง'!C20+'2.3วสด.งานบ้าน'!C20+'2.4วสด. LAB'!C20+'2.5วสด. dent'!C20+'2.6วสด.เภสัช'!C20</f>
        <v>0</v>
      </c>
      <c r="D20" s="35">
        <f>'2.1วสด.การแพทย์'!D20+'2.2วสด.สนง'!D20+'2.3วสด.งานบ้าน'!D20+'2.4วสด. LAB'!D20+'2.5วสด. dent'!D20+'2.6วสด.เภสัช'!D20</f>
        <v>0</v>
      </c>
      <c r="E20" s="35">
        <f>'2.1วสด.การแพทย์'!E20+'2.2วสด.สนง'!E20+'2.3วสด.งานบ้าน'!E20+'2.4วสด. LAB'!E20+'2.5วสด. dent'!E20+'2.6วสด.เภสัช'!E20</f>
        <v>0</v>
      </c>
      <c r="F20" s="35">
        <f>'2.1วสด.การแพทย์'!F20+'2.2วสด.สนง'!F20+'2.3วสด.งานบ้าน'!F20+'2.4วสด. LAB'!F20+'2.5วสด. dent'!F20+'2.6วสด.เภสัช'!F20</f>
        <v>0</v>
      </c>
      <c r="G20" s="35">
        <f>'2.1วสด.การแพทย์'!G20+'2.2วสด.สนง'!G20+'2.3วสด.งานบ้าน'!G20+'2.4วสด. LAB'!G20+'2.5วสด. dent'!G20+'2.6วสด.เภสัช'!G20</f>
        <v>3526</v>
      </c>
      <c r="H20" s="35">
        <f>'2.1วสด.การแพทย์'!H20+'2.2วสด.สนง'!H20+'2.3วสด.งานบ้าน'!H20+'2.4วสด. LAB'!H20+'2.5วสด. dent'!H20+'2.6วสด.เภสัช'!H20</f>
        <v>2424.02</v>
      </c>
      <c r="I20" s="35">
        <f>'2.1วสด.การแพทย์'!I20+'2.2วสด.สนง'!I20+'2.3วสด.งานบ้าน'!I20+'2.4วสด. LAB'!I20+'2.5วสด. dent'!I20+'2.6วสด.เภสัช'!I20</f>
        <v>5226.3</v>
      </c>
      <c r="J20" s="35">
        <f>'2.1วสด.การแพทย์'!J20+'2.2วสด.สนง'!J20+'2.3วสด.งานบ้าน'!J20+'2.4วสด. LAB'!J20+'2.5วสด. dent'!J20+'2.6วสด.เภสัช'!J20</f>
        <v>939.80000000000007</v>
      </c>
      <c r="K20" s="35">
        <f>'2.1วสด.การแพทย์'!K20+'2.2วสด.สนง'!K20+'2.3วสด.งานบ้าน'!K20+'2.4วสด. LAB'!K20+'2.5วสด. dent'!K20+'2.6วสด.เภสัช'!K20</f>
        <v>4659.6000000000004</v>
      </c>
      <c r="L20" s="35">
        <f>'2.1วสด.การแพทย์'!L20+'2.2วสด.สนง'!L20+'2.3วสด.งานบ้าน'!L20+'2.4วสด. LAB'!L20+'2.5วสด. dent'!L20+'2.6วสด.เภสัช'!L20</f>
        <v>6647.2000000000007</v>
      </c>
      <c r="M20" s="35">
        <f>'2.1วสด.การแพทย์'!M20+'2.2วสด.สนง'!M20+'2.3วสด.งานบ้าน'!M20+'2.4วสด. LAB'!M20+'2.5วสด. dent'!M20+'2.6วสด.เภสัช'!M20</f>
        <v>5177.3</v>
      </c>
      <c r="N20" s="35">
        <f>'2.1วสด.การแพทย์'!N20+'2.2วสด.สนง'!N20+'2.3วสด.งานบ้าน'!N20+'2.4วสด. LAB'!N20+'2.5วสด. dent'!N20+'2.6วสด.เภสัช'!N20</f>
        <v>2815.85</v>
      </c>
      <c r="O20" s="268">
        <f t="shared" si="1"/>
        <v>31416.07</v>
      </c>
      <c r="P20" s="290">
        <f t="shared" si="0"/>
        <v>1.7636025402017513E-2</v>
      </c>
    </row>
    <row r="21" spans="1:16" ht="17.25" customHeight="1" x14ac:dyDescent="0.2">
      <c r="A21" s="256">
        <v>17</v>
      </c>
      <c r="B21" s="249" t="s">
        <v>14</v>
      </c>
      <c r="C21" s="35">
        <f>'2.1วสด.การแพทย์'!C21+'2.2วสด.สนง'!C21+'2.3วสด.งานบ้าน'!C21+'2.4วสด. LAB'!C21+'2.5วสด. dent'!C21+'2.6วสด.เภสัช'!C21</f>
        <v>31433.98</v>
      </c>
      <c r="D21" s="35">
        <f>'2.1วสด.การแพทย์'!D21+'2.2วสด.สนง'!D21+'2.3วสด.งานบ้าน'!D21+'2.4วสด. LAB'!D21+'2.5วสด. dent'!D21+'2.6วสด.เภสัช'!D21</f>
        <v>2800.81</v>
      </c>
      <c r="E21" s="35">
        <f>'2.1วสด.การแพทย์'!E21+'2.2วสด.สนง'!E21+'2.3วสด.งานบ้าน'!E21+'2.4วสด. LAB'!E21+'2.5วสด. dent'!E21+'2.6วสด.เภสัช'!E21</f>
        <v>4562</v>
      </c>
      <c r="F21" s="35">
        <f>'2.1วสด.การแพทย์'!F21+'2.2วสด.สนง'!F21+'2.3วสด.งานบ้าน'!F21+'2.4วสด. LAB'!F21+'2.5วสด. dent'!F21+'2.6วสด.เภสัช'!F21</f>
        <v>0</v>
      </c>
      <c r="G21" s="35">
        <f>'2.1วสด.การแพทย์'!G21+'2.2วสด.สนง'!G21+'2.3วสด.งานบ้าน'!G21+'2.4วสด. LAB'!G21+'2.5วสด. dent'!G21+'2.6วสด.เภสัช'!G21</f>
        <v>7246.9</v>
      </c>
      <c r="H21" s="35">
        <f>'2.1วสด.การแพทย์'!H21+'2.2วสด.สนง'!H21+'2.3วสด.งานบ้าน'!H21+'2.4วสด. LAB'!H21+'2.5วสด. dent'!H21+'2.6วสด.เภสัช'!H21</f>
        <v>5963.04</v>
      </c>
      <c r="I21" s="35">
        <f>'2.1วสด.การแพทย์'!I21+'2.2วสด.สนง'!I21+'2.3วสด.งานบ้าน'!I21+'2.4วสด. LAB'!I21+'2.5วสด. dent'!I21+'2.6วสด.เภสัช'!I21</f>
        <v>3074.6499999999996</v>
      </c>
      <c r="J21" s="35">
        <f>'2.1วสด.การแพทย์'!J21+'2.2วสด.สนง'!J21+'2.3วสด.งานบ้าน'!J21+'2.4วสด. LAB'!J21+'2.5วสด. dent'!J21+'2.6วสด.เภสัช'!J21</f>
        <v>5288.51</v>
      </c>
      <c r="K21" s="35">
        <f>'2.1วสด.การแพทย์'!K21+'2.2วสด.สนง'!K21+'2.3วสด.งานบ้าน'!K21+'2.4วสด. LAB'!K21+'2.5วสด. dent'!K21+'2.6วสด.เภสัช'!K21</f>
        <v>5242.75</v>
      </c>
      <c r="L21" s="35">
        <f>'2.1วสด.การแพทย์'!L21+'2.2วสด.สนง'!L21+'2.3วสด.งานบ้าน'!L21+'2.4วสด. LAB'!L21+'2.5วสด. dent'!L21+'2.6วสด.เภสัช'!L21</f>
        <v>18609.41</v>
      </c>
      <c r="M21" s="35">
        <f>'2.1วสด.การแพทย์'!M21+'2.2วสด.สนง'!M21+'2.3วสด.งานบ้าน'!M21+'2.4วสด. LAB'!M21+'2.5วสด. dent'!M21+'2.6วสด.เภสัช'!M21</f>
        <v>9664.2999999999993</v>
      </c>
      <c r="N21" s="35">
        <f>'2.1วสด.การแพทย์'!N21+'2.2วสด.สนง'!N21+'2.3วสด.งานบ้าน'!N21+'2.4วสด. LAB'!N21+'2.5วสด. dent'!N21+'2.6วสด.เภสัช'!N21</f>
        <v>5155.96</v>
      </c>
      <c r="O21" s="268">
        <f t="shared" si="1"/>
        <v>99042.310000000027</v>
      </c>
      <c r="P21" s="290">
        <f t="shared" si="0"/>
        <v>5.5599338015050695E-2</v>
      </c>
    </row>
    <row r="22" spans="1:16" ht="17.25" customHeight="1" x14ac:dyDescent="0.2">
      <c r="A22" s="256">
        <v>18</v>
      </c>
      <c r="B22" s="249" t="s">
        <v>15</v>
      </c>
      <c r="C22" s="35">
        <f>'2.1วสด.การแพทย์'!C22+'2.2วสด.สนง'!C22+'2.3วสด.งานบ้าน'!C22+'2.4วสด. LAB'!C22+'2.5วสด. dent'!C22+'2.6วสด.เภสัช'!C22</f>
        <v>3808.74</v>
      </c>
      <c r="D22" s="35">
        <f>'2.1วสด.การแพทย์'!D22+'2.2วสด.สนง'!D22+'2.3วสด.งานบ้าน'!D22+'2.4วสด. LAB'!D22+'2.5วสด. dent'!D22+'2.6วสด.เภสัช'!D22</f>
        <v>0</v>
      </c>
      <c r="E22" s="35">
        <f>'2.1วสด.การแพทย์'!E22+'2.2วสด.สนง'!E22+'2.3วสด.งานบ้าน'!E22+'2.4วสด. LAB'!E22+'2.5วสด. dent'!E22+'2.6วสด.เภสัช'!E22</f>
        <v>554</v>
      </c>
      <c r="F22" s="35">
        <f>'2.1วสด.การแพทย์'!F22+'2.2วสด.สนง'!F22+'2.3วสด.งานบ้าน'!F22+'2.4วสด. LAB'!F22+'2.5วสด. dent'!F22+'2.6วสด.เภสัช'!F22</f>
        <v>1709.5</v>
      </c>
      <c r="G22" s="35">
        <f>'2.1วสด.การแพทย์'!G22+'2.2วสด.สนง'!G22+'2.3วสด.งานบ้าน'!G22+'2.4วสด. LAB'!G22+'2.5วสด. dent'!G22+'2.6วสด.เภสัช'!G22</f>
        <v>1415.07</v>
      </c>
      <c r="H22" s="35">
        <f>'2.1วสด.การแพทย์'!H22+'2.2วสด.สนง'!H22+'2.3วสด.งานบ้าน'!H22+'2.4วสด. LAB'!H22+'2.5วสด. dent'!H22+'2.6วสด.เภสัช'!H22</f>
        <v>946.81</v>
      </c>
      <c r="I22" s="35">
        <f>'2.1วสด.การแพทย์'!I22+'2.2วสด.สนง'!I22+'2.3วสด.งานบ้าน'!I22+'2.4วสด. LAB'!I22+'2.5วสด. dent'!I22+'2.6วสด.เภสัช'!I22</f>
        <v>1431.9</v>
      </c>
      <c r="J22" s="35">
        <f>'2.1วสด.การแพทย์'!J22+'2.2วสด.สนง'!J22+'2.3วสด.งานบ้าน'!J22+'2.4วสด. LAB'!J22+'2.5วสด. dent'!J22+'2.6วสด.เภสัช'!J22</f>
        <v>85.6</v>
      </c>
      <c r="K22" s="35">
        <f>'2.1วสด.การแพทย์'!K22+'2.2วสด.สนง'!K22+'2.3วสด.งานบ้าน'!K22+'2.4วสด. LAB'!K22+'2.5วสด. dent'!K22+'2.6วสด.เภสัช'!K22</f>
        <v>1537.8</v>
      </c>
      <c r="L22" s="35">
        <f>'2.1วสด.การแพทย์'!L22+'2.2วสด.สนง'!L22+'2.3วสด.งานบ้าน'!L22+'2.4วสด. LAB'!L22+'2.5วสด. dent'!L22+'2.6วสด.เภสัช'!L22</f>
        <v>2901.4</v>
      </c>
      <c r="M22" s="35">
        <f>'2.1วสด.การแพทย์'!M22+'2.2วสด.สนง'!M22+'2.3วสด.งานบ้าน'!M22+'2.4วสด. LAB'!M22+'2.5วสด. dent'!M22+'2.6วสด.เภสัช'!M22</f>
        <v>5816.2599999999993</v>
      </c>
      <c r="N22" s="35">
        <f>'2.1วสด.การแพทย์'!N22+'2.2วสด.สนง'!N22+'2.3วสด.งานบ้าน'!N22+'2.4วสด. LAB'!N22+'2.5วสด. dent'!N22+'2.6วสด.เภสัช'!N22</f>
        <v>0</v>
      </c>
      <c r="O22" s="268">
        <f t="shared" si="1"/>
        <v>20207.079999999998</v>
      </c>
      <c r="P22" s="290">
        <f t="shared" si="0"/>
        <v>1.13436396143948E-2</v>
      </c>
    </row>
    <row r="23" spans="1:16" s="265" customFormat="1" ht="17.25" customHeight="1" x14ac:dyDescent="0.2">
      <c r="A23" s="266" t="s">
        <v>69</v>
      </c>
      <c r="B23" s="267" t="s">
        <v>22</v>
      </c>
      <c r="C23" s="47">
        <f t="shared" ref="C23:N23" si="2">SUM(C5:C22)</f>
        <v>136177.03999999998</v>
      </c>
      <c r="D23" s="47">
        <f t="shared" si="2"/>
        <v>206278.65000000002</v>
      </c>
      <c r="E23" s="47">
        <f t="shared" si="2"/>
        <v>93713.36</v>
      </c>
      <c r="F23" s="47">
        <f t="shared" si="2"/>
        <v>114777.55</v>
      </c>
      <c r="G23" s="47">
        <f t="shared" si="2"/>
        <v>123476.78000000003</v>
      </c>
      <c r="H23" s="47">
        <f t="shared" si="2"/>
        <v>95742.499999999985</v>
      </c>
      <c r="I23" s="47">
        <f t="shared" si="2"/>
        <v>104121.79</v>
      </c>
      <c r="J23" s="47">
        <f t="shared" si="2"/>
        <v>113189.79000000001</v>
      </c>
      <c r="K23" s="47">
        <f t="shared" si="2"/>
        <v>145246.07999999999</v>
      </c>
      <c r="L23" s="47">
        <f t="shared" si="2"/>
        <v>398272.22</v>
      </c>
      <c r="M23" s="47">
        <f t="shared" si="2"/>
        <v>130060.43000000001</v>
      </c>
      <c r="N23" s="47">
        <f t="shared" si="2"/>
        <v>120301.53000000003</v>
      </c>
      <c r="O23" s="286">
        <f t="shared" si="1"/>
        <v>1781357.72</v>
      </c>
      <c r="P23" s="291">
        <f t="shared" si="0"/>
        <v>1</v>
      </c>
    </row>
    <row r="24" spans="1:16" ht="17.25" customHeight="1" x14ac:dyDescent="0.2">
      <c r="A24" s="257">
        <v>19</v>
      </c>
      <c r="B24" s="250" t="s">
        <v>16</v>
      </c>
      <c r="C24" s="263">
        <f>'2.1วสด.การแพทย์'!C24+'2.2วสด.สนง'!C24+'2.3วสด.งานบ้าน'!C24+'2.4วสด. LAB'!C24+'2.5วสด. dent'!C24+'2.6วสด.เภสัช'!C24</f>
        <v>0</v>
      </c>
      <c r="D24" s="263">
        <f>'2.1วสด.การแพทย์'!D24+'2.2วสด.สนง'!D24+'2.3วสด.งานบ้าน'!D24+'2.4วสด. LAB'!D24+'2.5วสด. dent'!D24+'2.6วสด.เภสัช'!D24</f>
        <v>0</v>
      </c>
      <c r="E24" s="263">
        <f>'2.1วสด.การแพทย์'!E24+'2.2วสด.สนง'!E24+'2.3วสด.งานบ้าน'!E24+'2.4วสด. LAB'!E24+'2.5วสด. dent'!E24+'2.6วสด.เภสัช'!E24</f>
        <v>0</v>
      </c>
      <c r="F24" s="263">
        <f>'2.1วสด.การแพทย์'!F24+'2.2วสด.สนง'!F24+'2.3วสด.งานบ้าน'!F24+'2.4วสด. LAB'!F24+'2.5วสด. dent'!F24+'2.6วสด.เภสัช'!F24</f>
        <v>0</v>
      </c>
      <c r="G24" s="263">
        <f>'2.1วสด.การแพทย์'!G24+'2.2วสด.สนง'!G24+'2.3วสด.งานบ้าน'!G24+'2.4วสด. LAB'!G24+'2.5วสด. dent'!G24+'2.6วสด.เภสัช'!G24</f>
        <v>0</v>
      </c>
      <c r="H24" s="263">
        <f>'2.1วสด.การแพทย์'!H24+'2.2วสด.สนง'!H24+'2.3วสด.งานบ้าน'!H24+'2.4วสด. LAB'!H24+'2.5วสด. dent'!H24+'2.6วสด.เภสัช'!H24</f>
        <v>0</v>
      </c>
      <c r="I24" s="263">
        <f>'2.1วสด.การแพทย์'!I24+'2.2วสด.สนง'!I24+'2.3วสด.งานบ้าน'!I24+'2.4วสด. LAB'!I24+'2.5วสด. dent'!I24+'2.6วสด.เภสัช'!I24</f>
        <v>7939.7</v>
      </c>
      <c r="J24" s="263">
        <f>'2.1วสด.การแพทย์'!J24+'2.2วสด.สนง'!J24+'2.3วสด.งานบ้าน'!J24+'2.4วสด. LAB'!J24+'2.5วสด. dent'!J24+'2.6วสด.เภสัช'!J24</f>
        <v>0</v>
      </c>
      <c r="K24" s="263">
        <f>'2.1วสด.การแพทย์'!K24+'2.2วสด.สนง'!K24+'2.3วสด.งานบ้าน'!K24+'2.4วสด. LAB'!K24+'2.5วสด. dent'!K24+'2.6วสด.เภสัช'!K24</f>
        <v>8714</v>
      </c>
      <c r="L24" s="263">
        <f>'2.1วสด.การแพทย์'!L24+'2.2วสด.สนง'!L24+'2.3วสด.งานบ้าน'!L24+'2.4วสด. LAB'!L24+'2.5วสด. dent'!L24+'2.6วสด.เภสัช'!L24</f>
        <v>7004.84</v>
      </c>
      <c r="M24" s="263">
        <f>'2.1วสด.การแพทย์'!M24+'2.2วสด.สนง'!M24+'2.3วสด.งานบ้าน'!M24+'2.4วสด. LAB'!M24+'2.5วสด. dent'!M24+'2.6วสด.เภสัช'!M24</f>
        <v>19202.300000000003</v>
      </c>
      <c r="N24" s="263">
        <f>'2.1วสด.การแพทย์'!N24+'2.2วสด.สนง'!N24+'2.3วสด.งานบ้าน'!N24+'2.4วสด. LAB'!N24+'2.5วสด. dent'!N24+'2.6วสด.เภสัช'!N24</f>
        <v>9265.44</v>
      </c>
      <c r="O24" s="268">
        <f t="shared" si="1"/>
        <v>52126.280000000006</v>
      </c>
      <c r="P24" s="290">
        <f t="shared" si="0"/>
        <v>2.9262106883282266E-2</v>
      </c>
    </row>
    <row r="25" spans="1:16" ht="17.25" customHeight="1" x14ac:dyDescent="0.2">
      <c r="A25" s="257">
        <v>20</v>
      </c>
      <c r="B25" s="250" t="s">
        <v>17</v>
      </c>
      <c r="C25" s="263">
        <f>'2.1วสด.การแพทย์'!C25+'2.2วสด.สนง'!C25+'2.3วสด.งานบ้าน'!C25+'2.4วสด. LAB'!C25+'2.5วสด. dent'!C25+'2.6วสด.เภสัช'!C25</f>
        <v>0</v>
      </c>
      <c r="D25" s="263">
        <f>'2.1วสด.การแพทย์'!D25+'2.2วสด.สนง'!D25+'2.3วสด.งานบ้าน'!D25+'2.4วสด. LAB'!D25+'2.5วสด. dent'!D25+'2.6วสด.เภสัช'!D25</f>
        <v>0</v>
      </c>
      <c r="E25" s="263">
        <f>'2.1วสด.การแพทย์'!E25+'2.2วสด.สนง'!E25+'2.3วสด.งานบ้าน'!E25+'2.4วสด. LAB'!E25+'2.5วสด. dent'!E25+'2.6วสด.เภสัช'!E25</f>
        <v>0</v>
      </c>
      <c r="F25" s="263">
        <f>'2.1วสด.การแพทย์'!F25+'2.2วสด.สนง'!F25+'2.3วสด.งานบ้าน'!F25+'2.4วสด. LAB'!F25+'2.5วสด. dent'!F25+'2.6วสด.เภสัช'!F25</f>
        <v>0</v>
      </c>
      <c r="G25" s="263">
        <f>'2.1วสด.การแพทย์'!G25+'2.2วสด.สนง'!G25+'2.3วสด.งานบ้าน'!G25+'2.4วสด. LAB'!G25+'2.5วสด. dent'!G25+'2.6วสด.เภสัช'!G25</f>
        <v>0</v>
      </c>
      <c r="H25" s="263">
        <f>'2.1วสด.การแพทย์'!H25+'2.2วสด.สนง'!H25+'2.3วสด.งานบ้าน'!H25+'2.4วสด. LAB'!H25+'2.5วสด. dent'!H25+'2.6วสด.เภสัช'!H25</f>
        <v>0</v>
      </c>
      <c r="I25" s="263">
        <f>'2.1วสด.การแพทย์'!I25+'2.2วสด.สนง'!I25+'2.3วสด.งานบ้าน'!I25+'2.4วสด. LAB'!I25+'2.5วสด. dent'!I25+'2.6วสด.เภสัช'!I25</f>
        <v>0</v>
      </c>
      <c r="J25" s="263">
        <f>'2.1วสด.การแพทย์'!J25+'2.2วสด.สนง'!J25+'2.3วสด.งานบ้าน'!J25+'2.4วสด. LAB'!J25+'2.5วสด. dent'!J25+'2.6วสด.เภสัช'!J25</f>
        <v>0</v>
      </c>
      <c r="K25" s="263">
        <f>'2.1วสด.การแพทย์'!K25+'2.2วสด.สนง'!K25+'2.3วสด.งานบ้าน'!K25+'2.4วสด. LAB'!K25+'2.5วสด. dent'!K25+'2.6วสด.เภสัช'!K25</f>
        <v>0</v>
      </c>
      <c r="L25" s="263">
        <f>'2.1วสด.การแพทย์'!L25+'2.2วสด.สนง'!L25+'2.3วสด.งานบ้าน'!L25+'2.4วสด. LAB'!L25+'2.5วสด. dent'!L25+'2.6วสด.เภสัช'!L25</f>
        <v>0</v>
      </c>
      <c r="M25" s="263">
        <f>'2.1วสด.การแพทย์'!M25+'2.2วสด.สนง'!M25+'2.3วสด.งานบ้าน'!M25+'2.4วสด. LAB'!M25+'2.5วสด. dent'!M25+'2.6วสด.เภสัช'!M25</f>
        <v>0</v>
      </c>
      <c r="N25" s="263">
        <f>'2.1วสด.การแพทย์'!N25+'2.2วสด.สนง'!N25+'2.3วสด.งานบ้าน'!N25+'2.4วสด. LAB'!N25+'2.5วสด. dent'!N25+'2.6วสด.เภสัช'!N25</f>
        <v>0</v>
      </c>
      <c r="O25" s="268">
        <f t="shared" si="1"/>
        <v>0</v>
      </c>
      <c r="P25" s="290">
        <f t="shared" si="0"/>
        <v>0</v>
      </c>
    </row>
    <row r="26" spans="1:16" s="265" customFormat="1" ht="17.25" customHeight="1" x14ac:dyDescent="0.2">
      <c r="A26" s="272" t="s">
        <v>55</v>
      </c>
      <c r="B26" s="273" t="s">
        <v>23</v>
      </c>
      <c r="C26" s="51">
        <f>C24+C25</f>
        <v>0</v>
      </c>
      <c r="D26" s="51">
        <f t="shared" ref="D26:N26" si="3">D24+D25</f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7939.7</v>
      </c>
      <c r="J26" s="51">
        <f t="shared" si="3"/>
        <v>0</v>
      </c>
      <c r="K26" s="51">
        <f t="shared" si="3"/>
        <v>8714</v>
      </c>
      <c r="L26" s="51">
        <f t="shared" si="3"/>
        <v>7004.84</v>
      </c>
      <c r="M26" s="51">
        <f t="shared" si="3"/>
        <v>19202.300000000003</v>
      </c>
      <c r="N26" s="51">
        <f t="shared" si="3"/>
        <v>9265.44</v>
      </c>
      <c r="O26" s="274">
        <f t="shared" si="1"/>
        <v>52126.280000000006</v>
      </c>
      <c r="P26" s="292">
        <f t="shared" si="0"/>
        <v>2.9262106883282266E-2</v>
      </c>
    </row>
    <row r="27" spans="1:16" s="269" customFormat="1" ht="17.25" customHeight="1" x14ac:dyDescent="0.2">
      <c r="A27" s="277" t="s">
        <v>70</v>
      </c>
      <c r="B27" s="278" t="s">
        <v>25</v>
      </c>
      <c r="C27" s="279">
        <f>C23+C26</f>
        <v>136177.03999999998</v>
      </c>
      <c r="D27" s="279">
        <f t="shared" ref="D27:N27" si="4">D23+D26</f>
        <v>206278.65000000002</v>
      </c>
      <c r="E27" s="279">
        <f t="shared" si="4"/>
        <v>93713.36</v>
      </c>
      <c r="F27" s="279">
        <f t="shared" si="4"/>
        <v>114777.55</v>
      </c>
      <c r="G27" s="279">
        <f t="shared" si="4"/>
        <v>123476.78000000003</v>
      </c>
      <c r="H27" s="279">
        <f t="shared" si="4"/>
        <v>95742.499999999985</v>
      </c>
      <c r="I27" s="279">
        <f t="shared" si="4"/>
        <v>112061.48999999999</v>
      </c>
      <c r="J27" s="279">
        <f t="shared" si="4"/>
        <v>113189.79000000001</v>
      </c>
      <c r="K27" s="279">
        <f t="shared" si="4"/>
        <v>153960.07999999999</v>
      </c>
      <c r="L27" s="279">
        <f t="shared" si="4"/>
        <v>405277.06</v>
      </c>
      <c r="M27" s="279">
        <f t="shared" si="4"/>
        <v>149262.73000000001</v>
      </c>
      <c r="N27" s="279">
        <f t="shared" si="4"/>
        <v>129566.97000000003</v>
      </c>
      <c r="O27" s="280">
        <f t="shared" si="1"/>
        <v>1833484</v>
      </c>
      <c r="P27" s="293">
        <f t="shared" si="0"/>
        <v>1.0292621068832823</v>
      </c>
    </row>
    <row r="28" spans="1:16" s="115" customFormat="1" ht="18" customHeight="1" x14ac:dyDescent="0.45">
      <c r="A28" s="258"/>
      <c r="B28" s="260"/>
      <c r="O28" s="314"/>
      <c r="P28" s="360"/>
    </row>
    <row r="29" spans="1:16" s="115" customFormat="1" ht="18" customHeight="1" x14ac:dyDescent="0.45">
      <c r="A29" s="258"/>
      <c r="B29" s="260"/>
      <c r="L29" s="363" t="s">
        <v>50</v>
      </c>
      <c r="M29" s="363"/>
      <c r="N29" s="363"/>
      <c r="O29" s="314"/>
      <c r="P29" s="360"/>
    </row>
    <row r="30" spans="1:16" s="115" customFormat="1" ht="18" customHeight="1" x14ac:dyDescent="0.45">
      <c r="A30" s="258"/>
      <c r="B30" s="260"/>
      <c r="G30" s="363" t="s">
        <v>81</v>
      </c>
      <c r="H30" s="363"/>
      <c r="I30" s="363"/>
      <c r="J30" s="121"/>
      <c r="K30" s="121"/>
      <c r="L30" s="363"/>
      <c r="M30" s="363"/>
      <c r="N30" s="363"/>
      <c r="O30" s="314"/>
      <c r="P30" s="360"/>
    </row>
    <row r="31" spans="1:16" s="115" customFormat="1" ht="18" customHeight="1" x14ac:dyDescent="0.45">
      <c r="A31" s="258"/>
      <c r="B31" s="260"/>
      <c r="G31" s="121"/>
      <c r="H31" s="121" t="s">
        <v>51</v>
      </c>
      <c r="I31" s="121"/>
      <c r="J31" s="121"/>
      <c r="K31" s="121"/>
      <c r="L31" s="122"/>
      <c r="M31" s="121" t="s">
        <v>52</v>
      </c>
      <c r="N31" s="123"/>
      <c r="O31" s="314"/>
      <c r="P31" s="360"/>
    </row>
    <row r="32" spans="1:16" s="115" customFormat="1" ht="18" customHeight="1" x14ac:dyDescent="0.45">
      <c r="A32" s="258"/>
      <c r="B32" s="260"/>
      <c r="G32" s="121"/>
      <c r="H32" s="122" t="s">
        <v>53</v>
      </c>
      <c r="I32" s="122"/>
      <c r="J32" s="122"/>
      <c r="K32" s="121"/>
      <c r="L32" s="122"/>
      <c r="M32" s="121" t="s">
        <v>54</v>
      </c>
      <c r="N32" s="123"/>
      <c r="O32" s="314"/>
      <c r="P32" s="360"/>
    </row>
    <row r="33" spans="1:16" s="115" customFormat="1" ht="18" customHeight="1" x14ac:dyDescent="0.45">
      <c r="A33" s="258"/>
      <c r="B33" s="260"/>
      <c r="G33" s="122"/>
      <c r="H33" s="122"/>
      <c r="I33" s="122"/>
      <c r="J33" s="122"/>
      <c r="K33" s="121"/>
      <c r="L33" s="122"/>
      <c r="M33" s="122"/>
      <c r="N33" s="124"/>
      <c r="O33" s="314"/>
      <c r="P33" s="360"/>
    </row>
    <row r="34" spans="1:16" s="115" customFormat="1" ht="18" customHeight="1" x14ac:dyDescent="0.45">
      <c r="A34" s="258"/>
      <c r="B34" s="260"/>
      <c r="O34" s="314"/>
      <c r="P34" s="360"/>
    </row>
    <row r="35" spans="1:16" s="115" customFormat="1" ht="18" customHeight="1" x14ac:dyDescent="0.45">
      <c r="A35" s="258"/>
      <c r="B35" s="260"/>
      <c r="O35" s="314"/>
      <c r="P35" s="360"/>
    </row>
  </sheetData>
  <mergeCells count="2">
    <mergeCell ref="G30:I30"/>
    <mergeCell ref="L29:N30"/>
  </mergeCells>
  <printOptions horizontalCentered="1"/>
  <pageMargins left="0" right="0" top="0.55118110236220474" bottom="0.35433070866141736" header="0.11811023622047245" footer="0.11811023622047245"/>
  <pageSetup paperSize="9" scale="90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topLeftCell="B1" zoomScale="112" zoomScaleNormal="112" workbookViewId="0">
      <selection activeCell="N23" sqref="N23"/>
    </sheetView>
  </sheetViews>
  <sheetFormatPr defaultRowHeight="17.25" customHeight="1" x14ac:dyDescent="0.2"/>
  <cols>
    <col min="1" max="1" width="4.75" style="264" customWidth="1"/>
    <col min="2" max="2" width="15.25" style="127" customWidth="1"/>
    <col min="3" max="14" width="8.375" style="27" customWidth="1"/>
    <col min="15" max="15" width="10" style="297" customWidth="1"/>
    <col min="16" max="16" width="9.625" style="295" customWidth="1"/>
    <col min="17" max="16384" width="9" style="27"/>
  </cols>
  <sheetData>
    <row r="1" spans="1:17" s="11" customFormat="1" ht="17.25" customHeight="1" x14ac:dyDescent="0.2">
      <c r="A1" s="100"/>
      <c r="B1" s="126"/>
      <c r="C1" s="9"/>
      <c r="D1" s="10" t="s">
        <v>58</v>
      </c>
      <c r="E1" s="9"/>
      <c r="F1" s="9"/>
      <c r="G1" s="9"/>
      <c r="H1" s="9"/>
      <c r="K1" s="10" t="str">
        <f>สรุปยอด!C3</f>
        <v xml:space="preserve"> ปีงบประมาณ   2561</v>
      </c>
      <c r="L1" s="9"/>
      <c r="M1" s="9"/>
      <c r="N1" s="9"/>
      <c r="O1" s="162"/>
      <c r="P1" s="294"/>
      <c r="Q1" s="60"/>
    </row>
    <row r="2" spans="1:17" s="11" customFormat="1" ht="17.25" customHeight="1" x14ac:dyDescent="0.2">
      <c r="A2" s="100"/>
      <c r="B2" s="126"/>
      <c r="C2" s="10" t="str">
        <f>'[1]1.1.ยา(ทั่วไป)'!C2</f>
        <v>จาก ฝ่ายเภสัชกรรมชุมชน  โรงพยาบาลกุมภวาปี</v>
      </c>
      <c r="D2" s="9"/>
      <c r="F2" s="9"/>
      <c r="G2" s="9"/>
      <c r="I2" s="9"/>
      <c r="J2" s="9"/>
      <c r="K2" s="9"/>
      <c r="M2" s="12"/>
      <c r="N2" s="13" t="str">
        <f>'2.รวมวชย ทุกประเภท'!N2</f>
        <v xml:space="preserve">รายงานข้อมูลณ วันที่ 28/9/61 </v>
      </c>
      <c r="O2" s="165"/>
      <c r="P2" s="294"/>
      <c r="Q2" s="60"/>
    </row>
    <row r="3" spans="1:17" ht="6.75" customHeight="1" x14ac:dyDescent="0.2"/>
    <row r="4" spans="1:17" ht="17.25" customHeight="1" x14ac:dyDescent="0.2">
      <c r="A4" s="25" t="s">
        <v>0</v>
      </c>
      <c r="B4" s="26" t="s">
        <v>1</v>
      </c>
      <c r="C4" s="254" t="s">
        <v>27</v>
      </c>
      <c r="D4" s="254" t="s">
        <v>28</v>
      </c>
      <c r="E4" s="254" t="s">
        <v>29</v>
      </c>
      <c r="F4" s="254" t="s">
        <v>30</v>
      </c>
      <c r="G4" s="254" t="s">
        <v>31</v>
      </c>
      <c r="H4" s="254" t="s">
        <v>32</v>
      </c>
      <c r="I4" s="254" t="s">
        <v>33</v>
      </c>
      <c r="J4" s="254" t="s">
        <v>34</v>
      </c>
      <c r="K4" s="254" t="s">
        <v>35</v>
      </c>
      <c r="L4" s="254" t="s">
        <v>36</v>
      </c>
      <c r="M4" s="254" t="s">
        <v>37</v>
      </c>
      <c r="N4" s="254" t="s">
        <v>38</v>
      </c>
      <c r="O4" s="298" t="s">
        <v>39</v>
      </c>
      <c r="P4" s="296" t="s">
        <v>40</v>
      </c>
    </row>
    <row r="5" spans="1:17" ht="17.25" customHeight="1" x14ac:dyDescent="0.2">
      <c r="A5" s="25">
        <v>1</v>
      </c>
      <c r="B5" s="26" t="s">
        <v>18</v>
      </c>
      <c r="C5" s="36">
        <f>21272.39-1036-1036</f>
        <v>19200.39</v>
      </c>
      <c r="D5" s="36">
        <f>12673.43-3453.33-460-550-345-1100-320-550+310+15539.3+7660.05-1726.67-660-230</f>
        <v>26787.78</v>
      </c>
      <c r="E5" s="36">
        <f>21956.12-7950-395-231.32</f>
        <v>13379.8</v>
      </c>
      <c r="F5" s="36">
        <f>11061.53-900-535-535-120+123.5+1500+996</f>
        <v>11591.03</v>
      </c>
      <c r="G5" s="36">
        <f>169.8+481.5+1348.2+960+11067.34-535-535-550-1650</f>
        <v>10756.84</v>
      </c>
      <c r="H5" s="36">
        <v>21618</v>
      </c>
      <c r="I5" s="36">
        <v>0</v>
      </c>
      <c r="J5" s="36">
        <f>22574.91-1560-540+2482.4+1294+2140</f>
        <v>26391.31</v>
      </c>
      <c r="K5" s="36">
        <f>35665.1+172-126-535-220-700-5040</f>
        <v>29216.1</v>
      </c>
      <c r="L5" s="36">
        <v>9193.4</v>
      </c>
      <c r="M5" s="36">
        <f>10884+960-360-700</f>
        <v>10784</v>
      </c>
      <c r="N5" s="36">
        <f>3776+7734-1320-126-345</f>
        <v>9719</v>
      </c>
      <c r="O5" s="299">
        <f>SUM(C5:N5)</f>
        <v>188637.65</v>
      </c>
      <c r="P5" s="290">
        <f t="shared" ref="P5:P27" si="0">O5/$O$23</f>
        <v>0.1776920372873827</v>
      </c>
    </row>
    <row r="6" spans="1:17" ht="17.25" customHeight="1" x14ac:dyDescent="0.2">
      <c r="A6" s="25">
        <v>2</v>
      </c>
      <c r="B6" s="26" t="s">
        <v>19</v>
      </c>
      <c r="C6" s="36">
        <f>6850.63-450-960-1120-2072-575+462.6+136</f>
        <v>2272.23</v>
      </c>
      <c r="D6" s="36">
        <f>10990.27-231.32+620+577.8+310+1200+1444.5+500</f>
        <v>15411.25</v>
      </c>
      <c r="E6" s="36">
        <f>8035.85-2650+620.6+790+759.7</f>
        <v>7556.1500000000005</v>
      </c>
      <c r="F6" s="36">
        <f>5270.87+5178.7</f>
        <v>10449.57</v>
      </c>
      <c r="G6" s="36">
        <f>7559.34+1241.2</f>
        <v>8800.5400000000009</v>
      </c>
      <c r="H6" s="36">
        <f>7873.2-1560+4279.64</f>
        <v>10592.84</v>
      </c>
      <c r="I6" s="36">
        <f>3872.3-1560+3319.5+7.45</f>
        <v>5639.25</v>
      </c>
      <c r="J6" s="36">
        <f>5240.18+705-2520-158.36</f>
        <v>3266.82</v>
      </c>
      <c r="K6" s="36">
        <f>9023.9-1560</f>
        <v>7463.9</v>
      </c>
      <c r="L6" s="36">
        <f>7573.22-450+1159</f>
        <v>8282.2200000000012</v>
      </c>
      <c r="M6" s="36">
        <f>7460.2-1260+3456</f>
        <v>9656.2000000000007</v>
      </c>
      <c r="N6" s="36">
        <f>6218.51+1000+3924.76</f>
        <v>11143.27</v>
      </c>
      <c r="O6" s="299">
        <f t="shared" ref="O6:O27" si="1">SUM(C6:N6)</f>
        <v>100534.24</v>
      </c>
      <c r="P6" s="290">
        <f t="shared" si="0"/>
        <v>9.4700787052524688E-2</v>
      </c>
    </row>
    <row r="7" spans="1:17" ht="17.25" customHeight="1" x14ac:dyDescent="0.2">
      <c r="A7" s="25">
        <v>3</v>
      </c>
      <c r="B7" s="26" t="s">
        <v>20</v>
      </c>
      <c r="C7" s="36">
        <v>0</v>
      </c>
      <c r="D7" s="36">
        <f>339.6+2370+1500+2284.05</f>
        <v>6493.6500000000005</v>
      </c>
      <c r="E7" s="36">
        <f>1514.4+2045</f>
        <v>3559.4</v>
      </c>
      <c r="F7" s="36">
        <f>4206.4+365+750+674.1</f>
        <v>5995.5</v>
      </c>
      <c r="G7" s="36">
        <f>8012.5-321-1050-1591.4+1198.4</f>
        <v>6248.5</v>
      </c>
      <c r="H7" s="36">
        <f>9246.2-2520-1070</f>
        <v>5656.2000000000007</v>
      </c>
      <c r="I7" s="36">
        <f>5876.5-320</f>
        <v>5556.5</v>
      </c>
      <c r="J7" s="36">
        <f>365+759.7+171.2</f>
        <v>1295.9000000000001</v>
      </c>
      <c r="K7" s="36">
        <f>1444.5+1241.2+1123.5</f>
        <v>3809.2</v>
      </c>
      <c r="L7" s="36">
        <f>6649.2-780-3780-540-320-550+310+543.6+856+450+791.8+100.77</f>
        <v>3731.3699999999994</v>
      </c>
      <c r="M7" s="36">
        <v>2507.1</v>
      </c>
      <c r="N7" s="36">
        <f>3290-1100+867.1+120</f>
        <v>3177.1</v>
      </c>
      <c r="O7" s="299">
        <f t="shared" si="1"/>
        <v>48030.42</v>
      </c>
      <c r="P7" s="290">
        <f t="shared" si="0"/>
        <v>4.5243477013038762E-2</v>
      </c>
    </row>
    <row r="8" spans="1:17" ht="17.25" customHeight="1" x14ac:dyDescent="0.2">
      <c r="A8" s="25">
        <v>4</v>
      </c>
      <c r="B8" s="26" t="s">
        <v>21</v>
      </c>
      <c r="C8" s="36">
        <f>2539.44+6722+29.19</f>
        <v>9290.630000000001</v>
      </c>
      <c r="D8" s="36">
        <f>1478.55+124+889.9+201.77+805</f>
        <v>3499.22</v>
      </c>
      <c r="E8" s="36">
        <f>230.05+240+510</f>
        <v>980.05</v>
      </c>
      <c r="F8" s="36">
        <f>237+450+379.85+379.85+750+5594.91+1128.36</f>
        <v>8919.9699999999993</v>
      </c>
      <c r="G8" s="36">
        <f>2410+925+1280+410+1992+170+636.69</f>
        <v>7823.6900000000005</v>
      </c>
      <c r="H8" s="36">
        <v>0</v>
      </c>
      <c r="I8" s="36">
        <v>0</v>
      </c>
      <c r="J8" s="36">
        <f>3099.5+800+271.8+5119.25+1128.36-1605-321</f>
        <v>8492.91</v>
      </c>
      <c r="K8" s="36">
        <f>704.2+1860</f>
        <v>2564.1999999999998</v>
      </c>
      <c r="L8" s="36">
        <v>3707.9</v>
      </c>
      <c r="M8" s="36">
        <f>5898.1-25.2-1100-750-950</f>
        <v>3072.9000000000005</v>
      </c>
      <c r="N8" s="36">
        <f>2121.4+470.8+470.8+800</f>
        <v>3863.0000000000005</v>
      </c>
      <c r="O8" s="299">
        <f t="shared" si="1"/>
        <v>52214.47</v>
      </c>
      <c r="P8" s="290">
        <f t="shared" si="0"/>
        <v>4.9184749439896681E-2</v>
      </c>
    </row>
    <row r="9" spans="1:17" ht="17.25" customHeight="1" x14ac:dyDescent="0.2">
      <c r="A9" s="25">
        <v>5</v>
      </c>
      <c r="B9" s="26" t="s">
        <v>2</v>
      </c>
      <c r="C9" s="36">
        <f>325+2250+291.89+790</f>
        <v>3656.89</v>
      </c>
      <c r="D9" s="36">
        <f>1170.4+1100+10280.61-450</f>
        <v>12101.01</v>
      </c>
      <c r="E9" s="36">
        <f>705+1861.8</f>
        <v>2566.8000000000002</v>
      </c>
      <c r="F9" s="36">
        <f>4535.4-63-1050+695</f>
        <v>4117.3999999999996</v>
      </c>
      <c r="G9" s="36">
        <v>5916.55</v>
      </c>
      <c r="H9" s="36">
        <f>500+1010+3323.35-220-214-700</f>
        <v>3699.3500000000004</v>
      </c>
      <c r="I9" s="36">
        <f>2216.7+450</f>
        <v>2666.7</v>
      </c>
      <c r="J9" s="36">
        <f>8376.41-963-2520-759.7</f>
        <v>4133.71</v>
      </c>
      <c r="K9" s="36">
        <f>6954.7+1444.5-214-550-700</f>
        <v>6935.2000000000007</v>
      </c>
      <c r="L9" s="36">
        <f>4309+128.84+5460+1444.5+1920</f>
        <v>13262.34</v>
      </c>
      <c r="M9" s="36">
        <f>9776.2-450-2520-540-540-1400+5262.6</f>
        <v>9588.8000000000011</v>
      </c>
      <c r="N9" s="36">
        <f>580+240+240.75</f>
        <v>1060.75</v>
      </c>
      <c r="O9" s="299">
        <f t="shared" si="1"/>
        <v>69705.5</v>
      </c>
      <c r="P9" s="290">
        <f t="shared" si="0"/>
        <v>6.5660870484421624E-2</v>
      </c>
    </row>
    <row r="10" spans="1:17" ht="17.25" customHeight="1" x14ac:dyDescent="0.2">
      <c r="A10" s="25">
        <v>6</v>
      </c>
      <c r="B10" s="26" t="s">
        <v>3</v>
      </c>
      <c r="C10" s="36">
        <v>1000</v>
      </c>
      <c r="D10" s="36">
        <v>2224.12</v>
      </c>
      <c r="E10" s="36">
        <v>1424.72</v>
      </c>
      <c r="F10" s="36">
        <f>1926.4+230+204</f>
        <v>2360.4</v>
      </c>
      <c r="G10" s="36">
        <f>10684.45+498</f>
        <v>11182.45</v>
      </c>
      <c r="H10" s="36">
        <f>310+1284</f>
        <v>1594</v>
      </c>
      <c r="I10" s="36">
        <v>812.5</v>
      </c>
      <c r="J10" s="36">
        <f>481.5+23.84</f>
        <v>505.34</v>
      </c>
      <c r="K10" s="36">
        <v>0</v>
      </c>
      <c r="L10" s="36">
        <v>3316.2</v>
      </c>
      <c r="M10" s="36">
        <f>8309.81-210-210-64+240.75+235.4</f>
        <v>8301.9599999999991</v>
      </c>
      <c r="N10" s="36">
        <v>0</v>
      </c>
      <c r="O10" s="299">
        <f t="shared" si="1"/>
        <v>32721.690000000002</v>
      </c>
      <c r="P10" s="290">
        <f t="shared" si="0"/>
        <v>3.0823029016668616E-2</v>
      </c>
    </row>
    <row r="11" spans="1:17" ht="17.25" customHeight="1" x14ac:dyDescent="0.2">
      <c r="A11" s="25">
        <v>7</v>
      </c>
      <c r="B11" s="26" t="s">
        <v>4</v>
      </c>
      <c r="C11" s="36">
        <f>4345.3-126</f>
        <v>4219.3</v>
      </c>
      <c r="D11" s="36">
        <f>5480.35-126-320+822</f>
        <v>5856.35</v>
      </c>
      <c r="E11" s="36">
        <v>0</v>
      </c>
      <c r="F11" s="36">
        <f>8478.9-450-1750-640</f>
        <v>5638.9</v>
      </c>
      <c r="G11" s="36">
        <f>420+7110.6+3668.36-158.36+1400</f>
        <v>12440.6</v>
      </c>
      <c r="H11" s="36">
        <v>365</v>
      </c>
      <c r="I11" s="36">
        <f>840+9522.28+171.2+460.1+10.43-3024-79.18-126-700-640</f>
        <v>6434.8300000000017</v>
      </c>
      <c r="J11" s="36">
        <v>0</v>
      </c>
      <c r="K11" s="36">
        <f>4723.5-378</f>
        <v>4345.5</v>
      </c>
      <c r="L11" s="36">
        <v>0</v>
      </c>
      <c r="M11" s="36">
        <v>0</v>
      </c>
      <c r="N11" s="36">
        <f>8648.25-1008-875-960-395.9+240+1920+8164.3-450-450-700-320</f>
        <v>13813.650000000001</v>
      </c>
      <c r="O11" s="299">
        <f t="shared" si="1"/>
        <v>53114.130000000005</v>
      </c>
      <c r="P11" s="290">
        <f t="shared" si="0"/>
        <v>5.0032207082981013E-2</v>
      </c>
    </row>
    <row r="12" spans="1:17" ht="17.25" customHeight="1" x14ac:dyDescent="0.2">
      <c r="A12" s="25">
        <v>8</v>
      </c>
      <c r="B12" s="26" t="s">
        <v>5</v>
      </c>
      <c r="C12" s="36">
        <f>10189.95-575</f>
        <v>9614.9500000000007</v>
      </c>
      <c r="D12" s="36">
        <f>9027.9-550-550+3374.9-115</f>
        <v>11187.8</v>
      </c>
      <c r="E12" s="36">
        <f>4217.3-900-550-480</f>
        <v>2287.3000000000002</v>
      </c>
      <c r="F12" s="36">
        <f>8980.05-1050+931.5+1150</f>
        <v>10011.549999999999</v>
      </c>
      <c r="G12" s="36">
        <f>2386.24+365-578.29</f>
        <v>2172.9499999999998</v>
      </c>
      <c r="H12" s="36">
        <f>405+271.8+547.5+1712+1733.4+151+315+210+105</f>
        <v>5450.7000000000007</v>
      </c>
      <c r="I12" s="36">
        <f>9889.58-115-112-220-108-700-640-550</f>
        <v>7444.58</v>
      </c>
      <c r="J12" s="36">
        <f>5369.8-2320</f>
        <v>3049.8</v>
      </c>
      <c r="K12" s="36">
        <f>16516.98-5040-395+1360+800+700+214</f>
        <v>14155.98</v>
      </c>
      <c r="L12" s="36">
        <f>14840.76+12012.04-385.2-139.1-410-1350-107-79.16-220</f>
        <v>24162.340000000004</v>
      </c>
      <c r="M12" s="36">
        <v>1159.5999999999999</v>
      </c>
      <c r="N12" s="36">
        <f>21685.93+620-12600-540-1750-640-550</f>
        <v>6225.93</v>
      </c>
      <c r="O12" s="299">
        <f t="shared" si="1"/>
        <v>96923.48000000001</v>
      </c>
      <c r="P12" s="290">
        <f t="shared" si="0"/>
        <v>9.1299539737602187E-2</v>
      </c>
    </row>
    <row r="13" spans="1:17" ht="17.25" customHeight="1" x14ac:dyDescent="0.2">
      <c r="A13" s="25">
        <v>9</v>
      </c>
      <c r="B13" s="26" t="s">
        <v>6</v>
      </c>
      <c r="C13" s="36">
        <f>3079.59-64-56</f>
        <v>2959.59</v>
      </c>
      <c r="D13" s="36">
        <f>21091.08-10600-230-600-1100+2465.5</f>
        <v>11026.580000000002</v>
      </c>
      <c r="E13" s="36">
        <f>620+405</f>
        <v>1025</v>
      </c>
      <c r="F13" s="36">
        <f>6651.62+1716.3+235.4+204+345</f>
        <v>9152.32</v>
      </c>
      <c r="G13" s="36">
        <v>0</v>
      </c>
      <c r="H13" s="36">
        <f>186+348+310.3+219+674.1+330</f>
        <v>2067.4</v>
      </c>
      <c r="I13" s="36">
        <f>15126.72-2520-224-324-1750+1100+664.04</f>
        <v>12072.759999999998</v>
      </c>
      <c r="J13" s="36">
        <f>1479+700+450</f>
        <v>2629</v>
      </c>
      <c r="K13" s="36">
        <v>7185.5</v>
      </c>
      <c r="L13" s="36">
        <f>5134.72+481.5+465.45+465.45+150+330+85.6</f>
        <v>7112.72</v>
      </c>
      <c r="M13" s="36">
        <f>4028.84-450-2520-395+3095.85</f>
        <v>3759.69</v>
      </c>
      <c r="N13" s="36">
        <f>9209.6+700+750-5040-105-210</f>
        <v>5304.6</v>
      </c>
      <c r="O13" s="299">
        <f t="shared" si="1"/>
        <v>64295.16</v>
      </c>
      <c r="P13" s="290">
        <f t="shared" si="0"/>
        <v>6.0564462969710652E-2</v>
      </c>
    </row>
    <row r="14" spans="1:17" ht="17.25" customHeight="1" x14ac:dyDescent="0.2">
      <c r="A14" s="25">
        <v>10</v>
      </c>
      <c r="B14" s="26" t="s">
        <v>7</v>
      </c>
      <c r="C14" s="36">
        <v>3763.37</v>
      </c>
      <c r="D14" s="36">
        <f>1139+899+2535.77</f>
        <v>4573.7700000000004</v>
      </c>
      <c r="E14" s="36">
        <v>730</v>
      </c>
      <c r="F14" s="36">
        <v>2181.21</v>
      </c>
      <c r="G14" s="36">
        <f>3895.2-700</f>
        <v>3195.2</v>
      </c>
      <c r="H14" s="36">
        <f>320+75+73+498+1607+7.44+700+1550.98</f>
        <v>4831.42</v>
      </c>
      <c r="I14" s="36">
        <v>0</v>
      </c>
      <c r="J14" s="36">
        <f>4154.7+85.6-1260+1458.6+235.4+1054.18</f>
        <v>5728.48</v>
      </c>
      <c r="K14" s="36">
        <v>1086.7</v>
      </c>
      <c r="L14" s="36">
        <f>3226.6-450-1260+3092.74</f>
        <v>4609.34</v>
      </c>
      <c r="M14" s="36">
        <f>400+1311.54+577.8</f>
        <v>2289.34</v>
      </c>
      <c r="N14" s="36">
        <f>2096.94-504+85.6</f>
        <v>1678.54</v>
      </c>
      <c r="O14" s="299">
        <f t="shared" si="1"/>
        <v>34667.370000000003</v>
      </c>
      <c r="P14" s="290">
        <f t="shared" si="0"/>
        <v>3.2655811831283382E-2</v>
      </c>
    </row>
    <row r="15" spans="1:17" ht="17.25" customHeight="1" x14ac:dyDescent="0.2">
      <c r="A15" s="25">
        <v>11</v>
      </c>
      <c r="B15" s="26" t="s">
        <v>8</v>
      </c>
      <c r="C15" s="36">
        <f>2960.32+340+1842.1</f>
        <v>5142.42</v>
      </c>
      <c r="D15" s="36">
        <f>365+1498.87</f>
        <v>1863.87</v>
      </c>
      <c r="E15" s="36">
        <f>232+7900</f>
        <v>8132</v>
      </c>
      <c r="F15" s="36">
        <f>2933.26+1100+1861.8+468.62+6381.2+320</f>
        <v>13064.880000000001</v>
      </c>
      <c r="G15" s="36">
        <f>879.6+759.7</f>
        <v>1639.3000000000002</v>
      </c>
      <c r="H15" s="36">
        <f>520.3+238</f>
        <v>758.3</v>
      </c>
      <c r="I15" s="36">
        <f>3497.3-450+3407.7</f>
        <v>6455</v>
      </c>
      <c r="J15" s="36">
        <f>1284+300+175+320+3206.8</f>
        <v>5285.8</v>
      </c>
      <c r="K15" s="36">
        <f>759.7+135+2503.5</f>
        <v>3398.2</v>
      </c>
      <c r="L15" s="36">
        <f>124.12+700+240.75+446.3</f>
        <v>1511.1699999999998</v>
      </c>
      <c r="M15" s="36">
        <f>5438.93+1319.4+738.3+791.8-550</f>
        <v>7738.43</v>
      </c>
      <c r="N15" s="36">
        <f>135+577.8</f>
        <v>712.8</v>
      </c>
      <c r="O15" s="299">
        <f t="shared" si="1"/>
        <v>55702.170000000006</v>
      </c>
      <c r="P15" s="290">
        <f t="shared" si="0"/>
        <v>5.247007725461026E-2</v>
      </c>
    </row>
    <row r="16" spans="1:17" ht="17.25" customHeight="1" x14ac:dyDescent="0.2">
      <c r="A16" s="25">
        <v>12</v>
      </c>
      <c r="B16" s="26" t="s">
        <v>9</v>
      </c>
      <c r="C16" s="36">
        <f>3292.11-220</f>
        <v>3072.11</v>
      </c>
      <c r="D16" s="36">
        <f>1268.1-288-32</f>
        <v>948.09999999999991</v>
      </c>
      <c r="E16" s="36">
        <f>1234.8-275+151.94+234.78+310.3</f>
        <v>1656.82</v>
      </c>
      <c r="F16" s="36">
        <f>160+135+180+131.94+1285.7+362.73</f>
        <v>2255.37</v>
      </c>
      <c r="G16" s="36">
        <f>3172.45-115-428-350-275+577.8+500+500+185</f>
        <v>3767.25</v>
      </c>
      <c r="H16" s="36">
        <v>1495.45</v>
      </c>
      <c r="I16" s="36">
        <f>3054.75+8.75-320</f>
        <v>2743.5</v>
      </c>
      <c r="J16" s="36">
        <f>3462.61-350+324.4+105+105+960+240.75</f>
        <v>4847.76</v>
      </c>
      <c r="K16" s="36">
        <f>3790.26+577.8-1260</f>
        <v>3108.0600000000004</v>
      </c>
      <c r="L16" s="36">
        <f>2500.51+700-220-275</f>
        <v>2705.51</v>
      </c>
      <c r="M16" s="36">
        <f>3804.14+577.8-79.16-352</f>
        <v>3950.7799999999997</v>
      </c>
      <c r="N16" s="36">
        <f>6734.46+320+62-3780</f>
        <v>3336.46</v>
      </c>
      <c r="O16" s="299">
        <f t="shared" si="1"/>
        <v>33887.17</v>
      </c>
      <c r="P16" s="290">
        <f t="shared" si="0"/>
        <v>3.1920882576749E-2</v>
      </c>
    </row>
    <row r="17" spans="1:16" ht="17.25" customHeight="1" x14ac:dyDescent="0.2">
      <c r="A17" s="25">
        <v>13</v>
      </c>
      <c r="B17" s="26" t="s">
        <v>10</v>
      </c>
      <c r="C17" s="36">
        <v>0</v>
      </c>
      <c r="D17" s="36">
        <f>1023+1820.55+110+26+1820.55</f>
        <v>4800.1000000000004</v>
      </c>
      <c r="E17" s="36">
        <f>3672.35+375+228+620.6</f>
        <v>4895.9500000000007</v>
      </c>
      <c r="F17" s="36">
        <f>1252+361.01</f>
        <v>1613.01</v>
      </c>
      <c r="G17" s="36">
        <f>9371.74-231.32+230.05</f>
        <v>9370.4699999999993</v>
      </c>
      <c r="H17" s="36">
        <v>759.7</v>
      </c>
      <c r="I17" s="36">
        <f>8269+365+705-3780-35</f>
        <v>5524</v>
      </c>
      <c r="J17" s="36">
        <f>7282.36-348+545.7</f>
        <v>7480.0599999999995</v>
      </c>
      <c r="K17" s="36">
        <f>3301.4-79</f>
        <v>3222.4</v>
      </c>
      <c r="L17" s="36">
        <f>9798.63-2520+105+476+96.3</f>
        <v>7955.9299999999994</v>
      </c>
      <c r="M17" s="36">
        <f>7086.25+500+192.6-750-5040-118.5-79.18-210</f>
        <v>1581.1700000000003</v>
      </c>
      <c r="N17" s="36">
        <f>12256.12-10080</f>
        <v>2176.1200000000008</v>
      </c>
      <c r="O17" s="299">
        <f t="shared" si="1"/>
        <v>49378.91</v>
      </c>
      <c r="P17" s="290">
        <f t="shared" si="0"/>
        <v>4.6513721502204439E-2</v>
      </c>
    </row>
    <row r="18" spans="1:16" ht="17.25" customHeight="1" x14ac:dyDescent="0.2">
      <c r="A18" s="25">
        <v>14</v>
      </c>
      <c r="B18" s="26" t="s">
        <v>11</v>
      </c>
      <c r="C18" s="36">
        <v>0</v>
      </c>
      <c r="D18" s="36">
        <f>763-220+1831.74-115.66+429.07</f>
        <v>2688.15</v>
      </c>
      <c r="E18" s="36">
        <f>4844.65-450-395-700-640-550</f>
        <v>2109.6499999999996</v>
      </c>
      <c r="F18" s="36">
        <f>4424-320+94.65</f>
        <v>4198.6499999999996</v>
      </c>
      <c r="G18" s="36">
        <v>65</v>
      </c>
      <c r="H18" s="36">
        <f>2604.12-1260</f>
        <v>1344.12</v>
      </c>
      <c r="I18" s="36">
        <v>0</v>
      </c>
      <c r="J18" s="36">
        <f>1699.35-79.16-107</f>
        <v>1513.1899999999998</v>
      </c>
      <c r="K18" s="36">
        <f>428+220+175</f>
        <v>823</v>
      </c>
      <c r="L18" s="36">
        <f>130+35+429.07+379.85</f>
        <v>973.92</v>
      </c>
      <c r="M18" s="36">
        <f>5381.22+124-450-216+85.6</f>
        <v>4924.8200000000006</v>
      </c>
      <c r="N18" s="36">
        <v>0</v>
      </c>
      <c r="O18" s="299">
        <f t="shared" si="1"/>
        <v>18640.5</v>
      </c>
      <c r="P18" s="290">
        <f t="shared" si="0"/>
        <v>1.7558893577477547E-2</v>
      </c>
    </row>
    <row r="19" spans="1:16" ht="17.25" customHeight="1" x14ac:dyDescent="0.2">
      <c r="A19" s="25">
        <v>15</v>
      </c>
      <c r="B19" s="26" t="s">
        <v>12</v>
      </c>
      <c r="C19" s="36">
        <f>3781.32-960+353.1+866.7+640</f>
        <v>4681.12</v>
      </c>
      <c r="D19" s="36">
        <f>4232-115.66+14861.36-1350-7950-345-440-1100</f>
        <v>7792.7000000000007</v>
      </c>
      <c r="E19" s="36">
        <f>1519.4+12428-1350-2650-395</f>
        <v>9552.4</v>
      </c>
      <c r="F19" s="36">
        <f>540+761+36.5+75.97</f>
        <v>1413.47</v>
      </c>
      <c r="G19" s="36">
        <f>1257+500</f>
        <v>1757</v>
      </c>
      <c r="H19" s="36">
        <f>7077.02+108.72+60+577.8+353.1+3667.97-275</f>
        <v>11569.61</v>
      </c>
      <c r="I19" s="36">
        <f>3616.1-1350-321+7360.8+184.04-700-535-900</f>
        <v>7354.9400000000005</v>
      </c>
      <c r="J19" s="36">
        <f>2914.7-535+3933.9-320-550</f>
        <v>5443.6</v>
      </c>
      <c r="K19" s="36">
        <f>588.5+730+886.7+398.4+481.5+288.9+1733.4</f>
        <v>5107.3999999999996</v>
      </c>
      <c r="L19" s="36">
        <f>2490+640+1000</f>
        <v>4130</v>
      </c>
      <c r="M19" s="36">
        <f>11907.94-550</f>
        <v>11357.94</v>
      </c>
      <c r="N19" s="36">
        <f>180+8.2+1733.4</f>
        <v>1921.6000000000001</v>
      </c>
      <c r="O19" s="299">
        <f t="shared" si="1"/>
        <v>72081.780000000013</v>
      </c>
      <c r="P19" s="290">
        <f t="shared" si="0"/>
        <v>6.7899267932466922E-2</v>
      </c>
    </row>
    <row r="20" spans="1:16" ht="17.25" customHeight="1" x14ac:dyDescent="0.2">
      <c r="A20" s="25">
        <v>16</v>
      </c>
      <c r="B20" s="128" t="s">
        <v>13</v>
      </c>
      <c r="C20" s="36">
        <v>0</v>
      </c>
      <c r="D20" s="36">
        <v>0</v>
      </c>
      <c r="E20" s="36">
        <v>0</v>
      </c>
      <c r="F20" s="36">
        <v>0</v>
      </c>
      <c r="G20" s="36">
        <f>480+121</f>
        <v>601</v>
      </c>
      <c r="H20" s="36">
        <f>2109.02+105+210</f>
        <v>2424.02</v>
      </c>
      <c r="I20" s="36">
        <f>1481.3+3040+705</f>
        <v>5226.3</v>
      </c>
      <c r="J20" s="36">
        <f>937.32+2.48</f>
        <v>939.80000000000007</v>
      </c>
      <c r="K20" s="36">
        <f>2862+1712+85.6-700</f>
        <v>3959.6000000000004</v>
      </c>
      <c r="L20" s="36">
        <f>1637.1+400+4610.1</f>
        <v>6647.2000000000007</v>
      </c>
      <c r="M20" s="36">
        <f>1250+13.5+3913.8-1260-275</f>
        <v>3642.3</v>
      </c>
      <c r="N20" s="36">
        <f>1712+230.05+791.8+82</f>
        <v>2815.85</v>
      </c>
      <c r="O20" s="299">
        <f t="shared" si="1"/>
        <v>26256.069999999996</v>
      </c>
      <c r="P20" s="290">
        <f t="shared" si="0"/>
        <v>2.4732573637659978E-2</v>
      </c>
    </row>
    <row r="21" spans="1:16" ht="17.25" customHeight="1" x14ac:dyDescent="0.2">
      <c r="A21" s="25">
        <v>17</v>
      </c>
      <c r="B21" s="26" t="s">
        <v>14</v>
      </c>
      <c r="C21" s="36">
        <f>6582.21-490-640+201.77</f>
        <v>5653.9800000000005</v>
      </c>
      <c r="D21" s="36">
        <v>2020.81</v>
      </c>
      <c r="E21" s="36">
        <f>1717+370+185+1500+J211100</f>
        <v>3772</v>
      </c>
      <c r="F21" s="36">
        <v>0</v>
      </c>
      <c r="G21" s="36">
        <f>4451.9+1250</f>
        <v>5701.9</v>
      </c>
      <c r="H21" s="36">
        <f>5779.71+183.33</f>
        <v>5963.04</v>
      </c>
      <c r="I21" s="36">
        <f>1475.62+585.03</f>
        <v>2060.6499999999996</v>
      </c>
      <c r="J21" s="36">
        <f>3128.42+1260.09</f>
        <v>4388.51</v>
      </c>
      <c r="K21" s="36">
        <f>2001.7+2296.05</f>
        <v>4297.75</v>
      </c>
      <c r="L21" s="36">
        <f>5261.41+996</f>
        <v>6257.41</v>
      </c>
      <c r="M21" s="36">
        <f>5098.2+2840.1</f>
        <v>7938.2999999999993</v>
      </c>
      <c r="N21" s="36">
        <v>3559.96</v>
      </c>
      <c r="O21" s="299">
        <f t="shared" si="1"/>
        <v>51614.310000000005</v>
      </c>
      <c r="P21" s="290">
        <f t="shared" si="0"/>
        <v>4.8619413447328945E-2</v>
      </c>
    </row>
    <row r="22" spans="1:16" ht="17.25" customHeight="1" x14ac:dyDescent="0.2">
      <c r="A22" s="25">
        <v>18</v>
      </c>
      <c r="B22" s="26" t="s">
        <v>15</v>
      </c>
      <c r="C22" s="36">
        <f>915.88+1241.2</f>
        <v>2157.08</v>
      </c>
      <c r="D22" s="36">
        <v>0</v>
      </c>
      <c r="E22" s="36">
        <f>204+240</f>
        <v>444</v>
      </c>
      <c r="F22" s="36">
        <f>109.5+345+160+700</f>
        <v>1314.5</v>
      </c>
      <c r="G22" s="36">
        <f>227.91+117.16</f>
        <v>345.07</v>
      </c>
      <c r="H22" s="36">
        <v>946.81</v>
      </c>
      <c r="I22" s="36">
        <f>1143+288.9-107-420-192</f>
        <v>712.90000000000009</v>
      </c>
      <c r="J22" s="36">
        <v>85.6</v>
      </c>
      <c r="K22" s="36">
        <v>256.8</v>
      </c>
      <c r="L22" s="36">
        <f>2901.4-420-384</f>
        <v>2097.4</v>
      </c>
      <c r="M22" s="36">
        <f>5999.2+195-756-79.6-420-105</f>
        <v>4833.5999999999995</v>
      </c>
      <c r="N22" s="36">
        <v>0</v>
      </c>
      <c r="O22" s="299">
        <f t="shared" si="1"/>
        <v>13193.759999999998</v>
      </c>
      <c r="P22" s="290">
        <f t="shared" si="0"/>
        <v>1.2428198155992604E-2</v>
      </c>
    </row>
    <row r="23" spans="1:16" s="48" customFormat="1" ht="17.25" customHeight="1" x14ac:dyDescent="0.2">
      <c r="A23" s="45">
        <v>5.4166666666666669E-2</v>
      </c>
      <c r="B23" s="154" t="s">
        <v>22</v>
      </c>
      <c r="C23" s="42">
        <f t="shared" ref="C23:N23" si="2">SUM(C5:C22)</f>
        <v>76684.06</v>
      </c>
      <c r="D23" s="42">
        <f t="shared" si="2"/>
        <v>119275.26000000001</v>
      </c>
      <c r="E23" s="42">
        <f t="shared" si="2"/>
        <v>64072.040000000008</v>
      </c>
      <c r="F23" s="42">
        <f t="shared" si="2"/>
        <v>94277.73000000001</v>
      </c>
      <c r="G23" s="42">
        <f t="shared" si="2"/>
        <v>91784.310000000012</v>
      </c>
      <c r="H23" s="42">
        <f t="shared" si="2"/>
        <v>81135.959999999992</v>
      </c>
      <c r="I23" s="42">
        <f t="shared" si="2"/>
        <v>70704.409999999989</v>
      </c>
      <c r="J23" s="42">
        <f t="shared" si="2"/>
        <v>85477.590000000011</v>
      </c>
      <c r="K23" s="42">
        <f t="shared" si="2"/>
        <v>100935.48999999998</v>
      </c>
      <c r="L23" s="42">
        <f t="shared" si="2"/>
        <v>109656.36999999998</v>
      </c>
      <c r="M23" s="42">
        <f t="shared" si="2"/>
        <v>97086.930000000008</v>
      </c>
      <c r="N23" s="42">
        <f t="shared" si="2"/>
        <v>70508.630000000019</v>
      </c>
      <c r="O23" s="54">
        <f t="shared" si="1"/>
        <v>1061598.78</v>
      </c>
      <c r="P23" s="291">
        <f t="shared" si="0"/>
        <v>1</v>
      </c>
    </row>
    <row r="24" spans="1:16" ht="17.25" customHeight="1" x14ac:dyDescent="0.2">
      <c r="A24" s="30">
        <v>19</v>
      </c>
      <c r="B24" s="31" t="s">
        <v>16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f>4565+2674.7-115+700</f>
        <v>7824.7</v>
      </c>
      <c r="J24" s="36">
        <v>0</v>
      </c>
      <c r="K24" s="36">
        <f>1500+660+1920+1793+1786</f>
        <v>7659</v>
      </c>
      <c r="L24" s="36">
        <f>4369.2+858.14+1714.5</f>
        <v>6941.84</v>
      </c>
      <c r="M24" s="36">
        <f>1301.8+6322.3+11578.2</f>
        <v>19202.300000000003</v>
      </c>
      <c r="N24" s="36"/>
      <c r="O24" s="299">
        <f t="shared" si="1"/>
        <v>41627.840000000004</v>
      </c>
      <c r="P24" s="290">
        <f t="shared" si="0"/>
        <v>3.9212403767080441E-2</v>
      </c>
    </row>
    <row r="25" spans="1:16" ht="17.25" customHeight="1" x14ac:dyDescent="0.2">
      <c r="A25" s="30">
        <v>20</v>
      </c>
      <c r="B25" s="26" t="s">
        <v>17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/>
      <c r="M25" s="36"/>
      <c r="N25" s="36"/>
      <c r="O25" s="299">
        <f t="shared" si="1"/>
        <v>0</v>
      </c>
      <c r="P25" s="290">
        <f t="shared" si="0"/>
        <v>0</v>
      </c>
    </row>
    <row r="26" spans="1:16" s="48" customFormat="1" ht="17.25" customHeight="1" x14ac:dyDescent="0.2">
      <c r="A26" s="49" t="s">
        <v>55</v>
      </c>
      <c r="B26" s="152" t="s">
        <v>23</v>
      </c>
      <c r="C26" s="41">
        <f>C24+C25</f>
        <v>0</v>
      </c>
      <c r="D26" s="41">
        <f t="shared" ref="D26:N26" si="3">D24+D25</f>
        <v>0</v>
      </c>
      <c r="E26" s="41">
        <f t="shared" si="3"/>
        <v>0</v>
      </c>
      <c r="F26" s="41">
        <f t="shared" si="3"/>
        <v>0</v>
      </c>
      <c r="G26" s="41">
        <f t="shared" si="3"/>
        <v>0</v>
      </c>
      <c r="H26" s="41">
        <f t="shared" si="3"/>
        <v>0</v>
      </c>
      <c r="I26" s="41">
        <f t="shared" si="3"/>
        <v>7824.7</v>
      </c>
      <c r="J26" s="41">
        <f t="shared" si="3"/>
        <v>0</v>
      </c>
      <c r="K26" s="41">
        <f t="shared" si="3"/>
        <v>7659</v>
      </c>
      <c r="L26" s="41">
        <f t="shared" si="3"/>
        <v>6941.84</v>
      </c>
      <c r="M26" s="41">
        <f t="shared" si="3"/>
        <v>19202.300000000003</v>
      </c>
      <c r="N26" s="41">
        <f t="shared" si="3"/>
        <v>0</v>
      </c>
      <c r="O26" s="276">
        <f t="shared" si="1"/>
        <v>41627.840000000004</v>
      </c>
      <c r="P26" s="292">
        <f t="shared" si="0"/>
        <v>3.9212403767080441E-2</v>
      </c>
    </row>
    <row r="27" spans="1:16" s="55" customFormat="1" ht="17.25" customHeight="1" x14ac:dyDescent="0.2">
      <c r="A27" s="203" t="s">
        <v>26</v>
      </c>
      <c r="B27" s="208" t="s">
        <v>25</v>
      </c>
      <c r="C27" s="282">
        <f>C23+C26</f>
        <v>76684.06</v>
      </c>
      <c r="D27" s="282">
        <f t="shared" ref="D27:N27" si="4">D23+D26</f>
        <v>119275.26000000001</v>
      </c>
      <c r="E27" s="282">
        <f>E23+E26</f>
        <v>64072.040000000008</v>
      </c>
      <c r="F27" s="282">
        <f t="shared" si="4"/>
        <v>94277.73000000001</v>
      </c>
      <c r="G27" s="282">
        <f t="shared" si="4"/>
        <v>91784.310000000012</v>
      </c>
      <c r="H27" s="282">
        <f t="shared" si="4"/>
        <v>81135.959999999992</v>
      </c>
      <c r="I27" s="282">
        <f t="shared" si="4"/>
        <v>78529.109999999986</v>
      </c>
      <c r="J27" s="282">
        <f t="shared" si="4"/>
        <v>85477.590000000011</v>
      </c>
      <c r="K27" s="282">
        <f t="shared" si="4"/>
        <v>108594.48999999998</v>
      </c>
      <c r="L27" s="282">
        <f t="shared" si="4"/>
        <v>116598.20999999998</v>
      </c>
      <c r="M27" s="282">
        <f t="shared" si="4"/>
        <v>116289.23000000001</v>
      </c>
      <c r="N27" s="282">
        <f t="shared" si="4"/>
        <v>70508.630000000019</v>
      </c>
      <c r="O27" s="283">
        <f t="shared" si="1"/>
        <v>1103226.6199999999</v>
      </c>
      <c r="P27" s="293">
        <f t="shared" si="0"/>
        <v>1.0392124037670802</v>
      </c>
    </row>
    <row r="28" spans="1:16" s="114" customFormat="1" ht="18" customHeight="1" x14ac:dyDescent="0.45">
      <c r="A28" s="62"/>
      <c r="B28" s="194"/>
      <c r="O28" s="167"/>
      <c r="P28" s="300"/>
    </row>
    <row r="29" spans="1:16" s="114" customFormat="1" ht="18" customHeight="1" x14ac:dyDescent="0.45">
      <c r="A29" s="62"/>
      <c r="B29" s="194"/>
      <c r="L29" s="364" t="s">
        <v>50</v>
      </c>
      <c r="M29" s="364"/>
      <c r="N29" s="364"/>
      <c r="O29" s="167"/>
      <c r="P29" s="300"/>
    </row>
    <row r="30" spans="1:16" s="114" customFormat="1" ht="18" customHeight="1" x14ac:dyDescent="0.45">
      <c r="A30" s="62"/>
      <c r="B30" s="194"/>
      <c r="G30" s="364" t="s">
        <v>81</v>
      </c>
      <c r="H30" s="364"/>
      <c r="I30" s="364"/>
      <c r="J30" s="15"/>
      <c r="K30" s="15"/>
      <c r="L30" s="364"/>
      <c r="M30" s="364"/>
      <c r="N30" s="364"/>
      <c r="O30" s="167"/>
      <c r="P30" s="300"/>
    </row>
    <row r="31" spans="1:16" s="114" customFormat="1" ht="18" customHeight="1" x14ac:dyDescent="0.45">
      <c r="A31" s="62"/>
      <c r="B31" s="194"/>
      <c r="G31" s="15"/>
      <c r="H31" s="15" t="s">
        <v>51</v>
      </c>
      <c r="I31" s="15"/>
      <c r="J31" s="15"/>
      <c r="K31" s="15"/>
      <c r="L31" s="17"/>
      <c r="M31" s="15" t="s">
        <v>52</v>
      </c>
      <c r="N31" s="18"/>
      <c r="O31" s="167"/>
      <c r="P31" s="300"/>
    </row>
    <row r="32" spans="1:16" s="114" customFormat="1" ht="18" customHeight="1" x14ac:dyDescent="0.45">
      <c r="A32" s="62"/>
      <c r="B32" s="194"/>
      <c r="G32" s="15"/>
      <c r="H32" s="17" t="s">
        <v>53</v>
      </c>
      <c r="I32" s="17"/>
      <c r="J32" s="17"/>
      <c r="K32" s="15"/>
      <c r="L32" s="17"/>
      <c r="M32" s="15" t="s">
        <v>54</v>
      </c>
      <c r="N32" s="18"/>
      <c r="O32" s="167"/>
      <c r="P32" s="300"/>
    </row>
    <row r="33" spans="1:16" s="114" customFormat="1" ht="18" customHeight="1" x14ac:dyDescent="0.45">
      <c r="A33" s="62"/>
      <c r="B33" s="194"/>
      <c r="G33" s="17"/>
      <c r="H33" s="17"/>
      <c r="I33" s="17"/>
      <c r="J33" s="17"/>
      <c r="K33" s="15"/>
      <c r="L33" s="17"/>
      <c r="M33" s="17"/>
      <c r="N33" s="19"/>
      <c r="O33" s="167"/>
      <c r="P33" s="300"/>
    </row>
    <row r="34" spans="1:16" s="114" customFormat="1" ht="18" customHeight="1" x14ac:dyDescent="0.45">
      <c r="A34" s="62"/>
      <c r="B34" s="194"/>
      <c r="O34" s="167"/>
      <c r="P34" s="300"/>
    </row>
    <row r="35" spans="1:16" s="114" customFormat="1" ht="18" customHeight="1" x14ac:dyDescent="0.45">
      <c r="A35" s="62"/>
      <c r="B35" s="194"/>
      <c r="O35" s="167"/>
      <c r="P35" s="300"/>
    </row>
  </sheetData>
  <mergeCells count="2">
    <mergeCell ref="G30:I30"/>
    <mergeCell ref="L29:N30"/>
  </mergeCells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topLeftCell="A7" zoomScaleNormal="100" workbookViewId="0">
      <selection activeCell="N23" sqref="N23"/>
    </sheetView>
  </sheetViews>
  <sheetFormatPr defaultRowHeight="17.25" customHeight="1" x14ac:dyDescent="0.2"/>
  <cols>
    <col min="1" max="1" width="4.75" style="264" customWidth="1"/>
    <col min="2" max="2" width="15.25" style="127" customWidth="1"/>
    <col min="3" max="14" width="8.375" style="27" customWidth="1"/>
    <col min="15" max="15" width="10" style="297" customWidth="1"/>
    <col min="16" max="16" width="9.625" style="295" customWidth="1"/>
    <col min="17" max="16384" width="9" style="27"/>
  </cols>
  <sheetData>
    <row r="1" spans="1:17" s="11" customFormat="1" ht="17.25" customHeight="1" x14ac:dyDescent="0.2">
      <c r="A1" s="100"/>
      <c r="B1" s="126"/>
      <c r="C1" s="9"/>
      <c r="D1" s="10" t="s">
        <v>59</v>
      </c>
      <c r="E1" s="9"/>
      <c r="F1" s="9"/>
      <c r="G1" s="9"/>
      <c r="H1" s="9"/>
      <c r="K1" s="10" t="str">
        <f>'2.1วสด.การแพทย์'!K1</f>
        <v xml:space="preserve"> ปีงบประมาณ   2561</v>
      </c>
      <c r="L1" s="9"/>
      <c r="M1" s="9"/>
      <c r="N1" s="9"/>
      <c r="O1" s="162"/>
      <c r="P1" s="294"/>
      <c r="Q1" s="60"/>
    </row>
    <row r="2" spans="1:17" s="11" customFormat="1" ht="17.25" customHeight="1" x14ac:dyDescent="0.2">
      <c r="A2" s="100"/>
      <c r="B2" s="126"/>
      <c r="C2" s="10" t="str">
        <f>'[1]1.1.ยา(ทั่วไป)'!C2</f>
        <v>จาก ฝ่ายเภสัชกรรมชุมชน  โรงพยาบาลกุมภวาปี</v>
      </c>
      <c r="D2" s="9"/>
      <c r="F2" s="9"/>
      <c r="G2" s="9"/>
      <c r="I2" s="9"/>
      <c r="J2" s="9"/>
      <c r="K2" s="9"/>
      <c r="M2" s="12"/>
      <c r="N2" s="13" t="str">
        <f>'2.รวมวชย ทุกประเภท'!N2</f>
        <v xml:space="preserve">รายงานข้อมูลณ วันที่ 28/9/61 </v>
      </c>
      <c r="O2" s="165"/>
      <c r="P2" s="294"/>
      <c r="Q2" s="60"/>
    </row>
    <row r="3" spans="1:17" ht="6.75" customHeight="1" x14ac:dyDescent="0.2"/>
    <row r="4" spans="1:17" ht="17.25" customHeight="1" x14ac:dyDescent="0.2">
      <c r="A4" s="25" t="s">
        <v>0</v>
      </c>
      <c r="B4" s="26" t="s">
        <v>1</v>
      </c>
      <c r="C4" s="254" t="s">
        <v>27</v>
      </c>
      <c r="D4" s="254" t="s">
        <v>28</v>
      </c>
      <c r="E4" s="254" t="s">
        <v>29</v>
      </c>
      <c r="F4" s="254" t="s">
        <v>30</v>
      </c>
      <c r="G4" s="254" t="s">
        <v>31</v>
      </c>
      <c r="H4" s="254" t="s">
        <v>32</v>
      </c>
      <c r="I4" s="254" t="s">
        <v>33</v>
      </c>
      <c r="J4" s="254" t="s">
        <v>34</v>
      </c>
      <c r="K4" s="254" t="s">
        <v>35</v>
      </c>
      <c r="L4" s="254" t="s">
        <v>36</v>
      </c>
      <c r="M4" s="254" t="s">
        <v>37</v>
      </c>
      <c r="N4" s="254" t="s">
        <v>38</v>
      </c>
      <c r="O4" s="298" t="s">
        <v>39</v>
      </c>
      <c r="P4" s="296" t="s">
        <v>40</v>
      </c>
    </row>
    <row r="5" spans="1:17" ht="17.25" customHeight="1" x14ac:dyDescent="0.2">
      <c r="A5" s="25">
        <v>1</v>
      </c>
      <c r="B5" s="26" t="s">
        <v>18</v>
      </c>
      <c r="C5" s="36">
        <f>1036+1036</f>
        <v>2072</v>
      </c>
      <c r="D5" s="36">
        <f>3453.33+1726.67</f>
        <v>5180</v>
      </c>
      <c r="E5" s="36">
        <v>0</v>
      </c>
      <c r="F5" s="36">
        <v>900</v>
      </c>
      <c r="G5" s="36">
        <v>1560</v>
      </c>
      <c r="H5" s="36">
        <v>0</v>
      </c>
      <c r="I5" s="36">
        <v>0</v>
      </c>
      <c r="J5" s="36">
        <v>1560</v>
      </c>
      <c r="K5" s="36">
        <v>0</v>
      </c>
      <c r="L5" s="36">
        <v>0</v>
      </c>
      <c r="M5" s="36">
        <v>3900</v>
      </c>
      <c r="N5" s="36">
        <v>1320</v>
      </c>
      <c r="O5" s="271">
        <f>SUM(C5:N5)</f>
        <v>16492</v>
      </c>
      <c r="P5" s="290">
        <f t="shared" ref="P5:P27" si="0">O5/$O$23</f>
        <v>0.33695652173913043</v>
      </c>
    </row>
    <row r="6" spans="1:17" ht="17.25" customHeight="1" x14ac:dyDescent="0.2">
      <c r="A6" s="25">
        <v>2</v>
      </c>
      <c r="B6" s="26" t="s">
        <v>19</v>
      </c>
      <c r="C6" s="36">
        <v>0</v>
      </c>
      <c r="D6" s="36">
        <v>1036</v>
      </c>
      <c r="E6" s="36">
        <v>0</v>
      </c>
      <c r="F6" s="36">
        <v>0</v>
      </c>
      <c r="G6" s="36">
        <f>450+1560</f>
        <v>2010</v>
      </c>
      <c r="H6" s="36">
        <v>1560</v>
      </c>
      <c r="I6" s="36">
        <v>1560</v>
      </c>
      <c r="J6" s="36">
        <v>0</v>
      </c>
      <c r="K6" s="36">
        <v>1560</v>
      </c>
      <c r="L6" s="36">
        <f>450+190</f>
        <v>640</v>
      </c>
      <c r="M6" s="36">
        <v>0</v>
      </c>
      <c r="N6" s="36">
        <v>0</v>
      </c>
      <c r="O6" s="271">
        <f t="shared" ref="O6:O27" si="1">SUM(C6:N6)</f>
        <v>8366</v>
      </c>
      <c r="P6" s="290">
        <f t="shared" si="0"/>
        <v>0.17093004249754823</v>
      </c>
    </row>
    <row r="7" spans="1:17" ht="17.25" customHeight="1" x14ac:dyDescent="0.2">
      <c r="A7" s="25">
        <v>3</v>
      </c>
      <c r="B7" s="26" t="s">
        <v>20</v>
      </c>
      <c r="C7" s="36">
        <v>0</v>
      </c>
      <c r="D7" s="36">
        <v>0</v>
      </c>
      <c r="E7" s="36">
        <v>0</v>
      </c>
      <c r="F7" s="36">
        <v>450</v>
      </c>
      <c r="G7" s="36">
        <f>321+1050+550</f>
        <v>1921</v>
      </c>
      <c r="H7" s="36">
        <v>0</v>
      </c>
      <c r="I7" s="36">
        <v>0</v>
      </c>
      <c r="J7" s="36">
        <v>1040</v>
      </c>
      <c r="K7" s="36">
        <v>0</v>
      </c>
      <c r="L7" s="36">
        <v>780</v>
      </c>
      <c r="M7" s="36">
        <v>0</v>
      </c>
      <c r="N7" s="36">
        <v>0</v>
      </c>
      <c r="O7" s="271">
        <f t="shared" si="1"/>
        <v>4191</v>
      </c>
      <c r="P7" s="290">
        <f t="shared" si="0"/>
        <v>8.5628473357306306E-2</v>
      </c>
    </row>
    <row r="8" spans="1:17" ht="17.25" customHeight="1" x14ac:dyDescent="0.2">
      <c r="A8" s="25">
        <v>4</v>
      </c>
      <c r="B8" s="26" t="s">
        <v>21</v>
      </c>
      <c r="C8" s="36">
        <v>0</v>
      </c>
      <c r="D8" s="36">
        <v>0</v>
      </c>
      <c r="E8" s="36">
        <v>0</v>
      </c>
      <c r="F8" s="36">
        <f>80+260+190</f>
        <v>530</v>
      </c>
      <c r="G8" s="36">
        <v>0</v>
      </c>
      <c r="H8" s="36">
        <v>0</v>
      </c>
      <c r="I8" s="36">
        <v>570</v>
      </c>
      <c r="J8" s="36">
        <v>0</v>
      </c>
      <c r="K8" s="36">
        <v>780</v>
      </c>
      <c r="L8" s="36">
        <v>0</v>
      </c>
      <c r="M8" s="36">
        <f>950+1560+40+40</f>
        <v>2590</v>
      </c>
      <c r="N8" s="36">
        <v>0</v>
      </c>
      <c r="O8" s="271">
        <f t="shared" si="1"/>
        <v>4470</v>
      </c>
      <c r="P8" s="290">
        <f t="shared" si="0"/>
        <v>9.132886564236678E-2</v>
      </c>
    </row>
    <row r="9" spans="1:17" ht="17.25" customHeight="1" x14ac:dyDescent="0.2">
      <c r="A9" s="25">
        <v>5</v>
      </c>
      <c r="B9" s="26" t="s">
        <v>2</v>
      </c>
      <c r="C9" s="36">
        <v>0</v>
      </c>
      <c r="D9" s="36">
        <v>450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450</v>
      </c>
      <c r="N9" s="36">
        <v>0</v>
      </c>
      <c r="O9" s="271">
        <f t="shared" si="1"/>
        <v>900</v>
      </c>
      <c r="P9" s="290">
        <f t="shared" si="0"/>
        <v>1.8388362209872507E-2</v>
      </c>
    </row>
    <row r="10" spans="1:17" ht="17.25" customHeight="1" x14ac:dyDescent="0.2">
      <c r="A10" s="25">
        <v>6</v>
      </c>
      <c r="B10" s="26" t="s">
        <v>3</v>
      </c>
      <c r="C10" s="36">
        <v>0</v>
      </c>
      <c r="D10" s="36">
        <v>0</v>
      </c>
      <c r="E10" s="36">
        <v>0</v>
      </c>
      <c r="F10" s="36">
        <v>780</v>
      </c>
      <c r="G10" s="36">
        <v>1320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520</v>
      </c>
      <c r="N10" s="36">
        <v>900</v>
      </c>
      <c r="O10" s="271">
        <f t="shared" si="1"/>
        <v>3520</v>
      </c>
      <c r="P10" s="290">
        <f t="shared" si="0"/>
        <v>7.1918927754168027E-2</v>
      </c>
    </row>
    <row r="11" spans="1:17" ht="17.25" customHeight="1" x14ac:dyDescent="0.2">
      <c r="A11" s="25">
        <v>7</v>
      </c>
      <c r="B11" s="26" t="s">
        <v>4</v>
      </c>
      <c r="C11" s="36">
        <v>0</v>
      </c>
      <c r="D11" s="36">
        <v>0</v>
      </c>
      <c r="E11" s="36">
        <v>900</v>
      </c>
      <c r="F11" s="36">
        <v>450</v>
      </c>
      <c r="G11" s="36">
        <v>0</v>
      </c>
      <c r="H11" s="36">
        <f>320+535+540</f>
        <v>1395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71">
        <f t="shared" si="1"/>
        <v>2745</v>
      </c>
      <c r="P11" s="290">
        <f t="shared" si="0"/>
        <v>5.6084504740111146E-2</v>
      </c>
    </row>
    <row r="12" spans="1:17" ht="17.25" customHeight="1" x14ac:dyDescent="0.2">
      <c r="A12" s="25">
        <v>8</v>
      </c>
      <c r="B12" s="26" t="s">
        <v>5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1350</v>
      </c>
      <c r="M12" s="36">
        <v>0</v>
      </c>
      <c r="N12" s="36">
        <v>0</v>
      </c>
      <c r="O12" s="271">
        <f t="shared" si="1"/>
        <v>1350</v>
      </c>
      <c r="P12" s="290">
        <f t="shared" si="0"/>
        <v>2.758254331480876E-2</v>
      </c>
    </row>
    <row r="13" spans="1:17" ht="17.25" customHeight="1" x14ac:dyDescent="0.2">
      <c r="A13" s="25">
        <v>9</v>
      </c>
      <c r="B13" s="26" t="s">
        <v>6</v>
      </c>
      <c r="C13" s="36">
        <f>64+56</f>
        <v>120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450</v>
      </c>
      <c r="N13" s="36">
        <v>0</v>
      </c>
      <c r="O13" s="271">
        <f t="shared" si="1"/>
        <v>570</v>
      </c>
      <c r="P13" s="290">
        <f t="shared" si="0"/>
        <v>1.1645962732919254E-2</v>
      </c>
    </row>
    <row r="14" spans="1:17" ht="17.25" customHeight="1" x14ac:dyDescent="0.2">
      <c r="A14" s="25">
        <v>10</v>
      </c>
      <c r="B14" s="26" t="s">
        <v>7</v>
      </c>
      <c r="C14" s="36">
        <v>0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450</v>
      </c>
      <c r="M14" s="36">
        <v>0</v>
      </c>
      <c r="N14" s="36">
        <v>0</v>
      </c>
      <c r="O14" s="271">
        <f t="shared" si="1"/>
        <v>450</v>
      </c>
      <c r="P14" s="290">
        <f t="shared" si="0"/>
        <v>9.1941811049362533E-3</v>
      </c>
    </row>
    <row r="15" spans="1:17" ht="17.25" customHeight="1" x14ac:dyDescent="0.2">
      <c r="A15" s="25">
        <v>11</v>
      </c>
      <c r="B15" s="26" t="s">
        <v>8</v>
      </c>
      <c r="C15" s="36">
        <v>0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450</v>
      </c>
      <c r="J15" s="36">
        <v>0</v>
      </c>
      <c r="K15" s="36">
        <v>1350</v>
      </c>
      <c r="L15" s="36">
        <v>0</v>
      </c>
      <c r="M15" s="36">
        <v>0</v>
      </c>
      <c r="N15" s="36">
        <v>0</v>
      </c>
      <c r="O15" s="271">
        <f t="shared" si="1"/>
        <v>1800</v>
      </c>
      <c r="P15" s="290">
        <f t="shared" si="0"/>
        <v>3.6776724419745013E-2</v>
      </c>
    </row>
    <row r="16" spans="1:17" ht="17.25" customHeight="1" x14ac:dyDescent="0.2">
      <c r="A16" s="25">
        <v>12</v>
      </c>
      <c r="B16" s="26" t="s">
        <v>9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271">
        <f t="shared" si="1"/>
        <v>0</v>
      </c>
      <c r="P16" s="290">
        <f t="shared" si="0"/>
        <v>0</v>
      </c>
    </row>
    <row r="17" spans="1:16" ht="17.25" customHeight="1" x14ac:dyDescent="0.2">
      <c r="A17" s="25">
        <v>13</v>
      </c>
      <c r="B17" s="26" t="s">
        <v>10</v>
      </c>
      <c r="C17" s="36">
        <v>0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450</v>
      </c>
      <c r="M17" s="36">
        <v>0</v>
      </c>
      <c r="N17" s="36">
        <v>0</v>
      </c>
      <c r="O17" s="271">
        <f t="shared" si="1"/>
        <v>450</v>
      </c>
      <c r="P17" s="290">
        <f t="shared" si="0"/>
        <v>9.1941811049362533E-3</v>
      </c>
    </row>
    <row r="18" spans="1:16" ht="17.25" customHeight="1" x14ac:dyDescent="0.2">
      <c r="A18" s="25">
        <v>14</v>
      </c>
      <c r="B18" s="26" t="s">
        <v>11</v>
      </c>
      <c r="C18" s="36">
        <v>0</v>
      </c>
      <c r="D18" s="36">
        <v>0</v>
      </c>
      <c r="E18" s="36">
        <v>450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450</v>
      </c>
      <c r="N18" s="36">
        <v>0</v>
      </c>
      <c r="O18" s="271">
        <f t="shared" si="1"/>
        <v>900</v>
      </c>
      <c r="P18" s="290">
        <f t="shared" si="0"/>
        <v>1.8388362209872507E-2</v>
      </c>
    </row>
    <row r="19" spans="1:16" ht="17.25" customHeight="1" x14ac:dyDescent="0.2">
      <c r="A19" s="25">
        <v>15</v>
      </c>
      <c r="B19" s="26" t="s">
        <v>12</v>
      </c>
      <c r="C19" s="36">
        <v>0</v>
      </c>
      <c r="D19" s="36">
        <v>0</v>
      </c>
      <c r="E19" s="36">
        <v>1350</v>
      </c>
      <c r="F19" s="36">
        <v>900</v>
      </c>
      <c r="G19" s="36">
        <v>0</v>
      </c>
      <c r="H19" s="36">
        <v>0</v>
      </c>
      <c r="I19" s="36">
        <f>1350+900</f>
        <v>2250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271">
        <f t="shared" si="1"/>
        <v>4500</v>
      </c>
      <c r="P19" s="290">
        <f t="shared" si="0"/>
        <v>9.194181104936254E-2</v>
      </c>
    </row>
    <row r="20" spans="1:16" ht="17.25" customHeight="1" x14ac:dyDescent="0.2">
      <c r="A20" s="25">
        <v>16</v>
      </c>
      <c r="B20" s="128" t="s">
        <v>13</v>
      </c>
      <c r="C20" s="36">
        <v>0</v>
      </c>
      <c r="D20" s="36">
        <v>0</v>
      </c>
      <c r="E20" s="36">
        <v>0</v>
      </c>
      <c r="F20" s="36">
        <v>0</v>
      </c>
      <c r="G20" s="36">
        <v>900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271">
        <f t="shared" si="1"/>
        <v>900</v>
      </c>
      <c r="P20" s="290">
        <f t="shared" si="0"/>
        <v>1.8388362209872507E-2</v>
      </c>
    </row>
    <row r="21" spans="1:16" ht="17.25" customHeight="1" x14ac:dyDescent="0.2">
      <c r="A21" s="25">
        <v>17</v>
      </c>
      <c r="B21" s="26" t="s">
        <v>14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450</v>
      </c>
      <c r="J21" s="36">
        <v>900</v>
      </c>
      <c r="K21" s="36">
        <v>0</v>
      </c>
      <c r="L21" s="36">
        <v>0</v>
      </c>
      <c r="M21" s="36">
        <v>0</v>
      </c>
      <c r="N21" s="36">
        <v>0</v>
      </c>
      <c r="O21" s="271">
        <f t="shared" si="1"/>
        <v>1350</v>
      </c>
      <c r="P21" s="290">
        <f t="shared" si="0"/>
        <v>2.758254331480876E-2</v>
      </c>
    </row>
    <row r="22" spans="1:16" ht="17.25" customHeight="1" x14ac:dyDescent="0.2">
      <c r="A22" s="25">
        <v>18</v>
      </c>
      <c r="B22" s="26" t="s">
        <v>15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271">
        <f t="shared" si="1"/>
        <v>0</v>
      </c>
      <c r="P22" s="290">
        <f t="shared" si="0"/>
        <v>0</v>
      </c>
    </row>
    <row r="23" spans="1:16" s="48" customFormat="1" ht="17.25" customHeight="1" x14ac:dyDescent="0.2">
      <c r="A23" s="45">
        <v>5.4166666666666669E-2</v>
      </c>
      <c r="B23" s="154" t="s">
        <v>22</v>
      </c>
      <c r="C23" s="42">
        <f t="shared" ref="C23:N23" si="2">SUM(C5:C22)</f>
        <v>2192</v>
      </c>
      <c r="D23" s="42">
        <f t="shared" si="2"/>
        <v>6666</v>
      </c>
      <c r="E23" s="42">
        <f t="shared" si="2"/>
        <v>2700</v>
      </c>
      <c r="F23" s="42">
        <v>0</v>
      </c>
      <c r="G23" s="42">
        <f t="shared" si="2"/>
        <v>7711</v>
      </c>
      <c r="H23" s="42">
        <f t="shared" si="2"/>
        <v>2955</v>
      </c>
      <c r="I23" s="42">
        <f t="shared" si="2"/>
        <v>5280</v>
      </c>
      <c r="J23" s="42">
        <f t="shared" si="2"/>
        <v>3500</v>
      </c>
      <c r="K23" s="42">
        <f t="shared" si="2"/>
        <v>3690</v>
      </c>
      <c r="L23" s="42">
        <f t="shared" si="2"/>
        <v>3670</v>
      </c>
      <c r="M23" s="42">
        <f t="shared" si="2"/>
        <v>8360</v>
      </c>
      <c r="N23" s="42">
        <f t="shared" si="2"/>
        <v>2220</v>
      </c>
      <c r="O23" s="54">
        <f t="shared" si="1"/>
        <v>48944</v>
      </c>
      <c r="P23" s="291">
        <f t="shared" si="0"/>
        <v>1</v>
      </c>
    </row>
    <row r="24" spans="1:16" ht="17.25" customHeight="1" x14ac:dyDescent="0.2">
      <c r="A24" s="30">
        <v>19</v>
      </c>
      <c r="B24" s="31" t="s">
        <v>16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/>
      <c r="O24" s="271">
        <f t="shared" si="1"/>
        <v>0</v>
      </c>
      <c r="P24" s="290">
        <f t="shared" si="0"/>
        <v>0</v>
      </c>
    </row>
    <row r="25" spans="1:16" ht="17.25" customHeight="1" x14ac:dyDescent="0.2">
      <c r="A25" s="30">
        <v>20</v>
      </c>
      <c r="B25" s="26" t="s">
        <v>17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/>
      <c r="M25" s="36"/>
      <c r="N25" s="36"/>
      <c r="O25" s="271">
        <f t="shared" si="1"/>
        <v>0</v>
      </c>
      <c r="P25" s="290">
        <f t="shared" si="0"/>
        <v>0</v>
      </c>
    </row>
    <row r="26" spans="1:16" s="48" customFormat="1" ht="17.25" customHeight="1" x14ac:dyDescent="0.2">
      <c r="A26" s="49" t="s">
        <v>24</v>
      </c>
      <c r="B26" s="152" t="s">
        <v>23</v>
      </c>
      <c r="C26" s="41">
        <f>C24+C25</f>
        <v>0</v>
      </c>
      <c r="D26" s="41">
        <f t="shared" ref="D26:N26" si="3">D24+D25</f>
        <v>0</v>
      </c>
      <c r="E26" s="41">
        <f t="shared" si="3"/>
        <v>0</v>
      </c>
      <c r="F26" s="41">
        <f t="shared" si="3"/>
        <v>0</v>
      </c>
      <c r="G26" s="41">
        <f t="shared" si="3"/>
        <v>0</v>
      </c>
      <c r="H26" s="41">
        <f t="shared" si="3"/>
        <v>0</v>
      </c>
      <c r="I26" s="41">
        <f t="shared" si="3"/>
        <v>0</v>
      </c>
      <c r="J26" s="41">
        <f t="shared" si="3"/>
        <v>0</v>
      </c>
      <c r="K26" s="41">
        <f t="shared" si="3"/>
        <v>0</v>
      </c>
      <c r="L26" s="41">
        <f t="shared" si="3"/>
        <v>0</v>
      </c>
      <c r="M26" s="41">
        <f t="shared" si="3"/>
        <v>0</v>
      </c>
      <c r="N26" s="41">
        <f t="shared" si="3"/>
        <v>0</v>
      </c>
      <c r="O26" s="276">
        <f t="shared" si="1"/>
        <v>0</v>
      </c>
      <c r="P26" s="292">
        <f t="shared" si="0"/>
        <v>0</v>
      </c>
    </row>
    <row r="27" spans="1:16" s="55" customFormat="1" ht="17.25" customHeight="1" x14ac:dyDescent="0.2">
      <c r="A27" s="203" t="s">
        <v>26</v>
      </c>
      <c r="B27" s="208" t="s">
        <v>25</v>
      </c>
      <c r="C27" s="282">
        <f>C23+C26</f>
        <v>2192</v>
      </c>
      <c r="D27" s="282">
        <f t="shared" ref="D27:N27" si="4">D23+D26</f>
        <v>6666</v>
      </c>
      <c r="E27" s="282">
        <f t="shared" si="4"/>
        <v>2700</v>
      </c>
      <c r="F27" s="282">
        <f>900+450+530+780+450+900</f>
        <v>4010</v>
      </c>
      <c r="G27" s="282">
        <f t="shared" si="4"/>
        <v>7711</v>
      </c>
      <c r="H27" s="282">
        <f t="shared" si="4"/>
        <v>2955</v>
      </c>
      <c r="I27" s="282">
        <f t="shared" si="4"/>
        <v>5280</v>
      </c>
      <c r="J27" s="282">
        <f t="shared" si="4"/>
        <v>3500</v>
      </c>
      <c r="K27" s="282">
        <f t="shared" si="4"/>
        <v>3690</v>
      </c>
      <c r="L27" s="282">
        <f t="shared" si="4"/>
        <v>3670</v>
      </c>
      <c r="M27" s="282">
        <f t="shared" si="4"/>
        <v>8360</v>
      </c>
      <c r="N27" s="282">
        <f t="shared" si="4"/>
        <v>2220</v>
      </c>
      <c r="O27" s="283">
        <f t="shared" si="1"/>
        <v>52954</v>
      </c>
      <c r="P27" s="293">
        <f t="shared" si="0"/>
        <v>1.0819303694017652</v>
      </c>
    </row>
    <row r="28" spans="1:16" s="114" customFormat="1" ht="18" customHeight="1" x14ac:dyDescent="0.45">
      <c r="A28" s="62"/>
      <c r="B28" s="194"/>
      <c r="O28" s="167"/>
      <c r="P28" s="300"/>
    </row>
    <row r="29" spans="1:16" s="114" customFormat="1" ht="18" customHeight="1" x14ac:dyDescent="0.45">
      <c r="A29" s="62"/>
      <c r="B29" s="194"/>
      <c r="L29" s="364" t="s">
        <v>50</v>
      </c>
      <c r="M29" s="364"/>
      <c r="N29" s="364"/>
      <c r="O29" s="167"/>
      <c r="P29" s="300"/>
    </row>
    <row r="30" spans="1:16" s="114" customFormat="1" ht="18" customHeight="1" x14ac:dyDescent="0.45">
      <c r="A30" s="62"/>
      <c r="B30" s="194"/>
      <c r="G30" s="364" t="s">
        <v>81</v>
      </c>
      <c r="H30" s="364"/>
      <c r="I30" s="364"/>
      <c r="J30" s="15"/>
      <c r="K30" s="15"/>
      <c r="L30" s="364"/>
      <c r="M30" s="364"/>
      <c r="N30" s="364"/>
      <c r="O30" s="167"/>
      <c r="P30" s="300"/>
    </row>
    <row r="31" spans="1:16" s="114" customFormat="1" ht="18" customHeight="1" x14ac:dyDescent="0.45">
      <c r="A31" s="62"/>
      <c r="B31" s="194"/>
      <c r="G31" s="15"/>
      <c r="H31" s="15" t="s">
        <v>51</v>
      </c>
      <c r="I31" s="15"/>
      <c r="J31" s="15"/>
      <c r="K31" s="15"/>
      <c r="L31" s="17"/>
      <c r="M31" s="15" t="s">
        <v>52</v>
      </c>
      <c r="N31" s="18"/>
      <c r="O31" s="167"/>
      <c r="P31" s="300"/>
    </row>
    <row r="32" spans="1:16" s="114" customFormat="1" ht="18" customHeight="1" x14ac:dyDescent="0.45">
      <c r="A32" s="62"/>
      <c r="B32" s="194"/>
      <c r="G32" s="15"/>
      <c r="H32" s="17" t="s">
        <v>53</v>
      </c>
      <c r="I32" s="17"/>
      <c r="J32" s="17"/>
      <c r="K32" s="15"/>
      <c r="L32" s="17"/>
      <c r="M32" s="15" t="s">
        <v>54</v>
      </c>
      <c r="N32" s="18"/>
      <c r="O32" s="167"/>
      <c r="P32" s="300"/>
    </row>
    <row r="33" spans="1:16" s="114" customFormat="1" ht="18" customHeight="1" x14ac:dyDescent="0.45">
      <c r="A33" s="62"/>
      <c r="B33" s="194"/>
      <c r="G33" s="17"/>
      <c r="H33" s="17"/>
      <c r="I33" s="17"/>
      <c r="J33" s="17"/>
      <c r="K33" s="15"/>
      <c r="L33" s="17"/>
      <c r="M33" s="17"/>
      <c r="N33" s="19"/>
      <c r="O33" s="167"/>
      <c r="P33" s="300"/>
    </row>
    <row r="34" spans="1:16" s="114" customFormat="1" ht="18" customHeight="1" x14ac:dyDescent="0.45">
      <c r="A34" s="62"/>
      <c r="B34" s="194"/>
      <c r="O34" s="167"/>
      <c r="P34" s="300"/>
    </row>
    <row r="35" spans="1:16" s="114" customFormat="1" ht="18" customHeight="1" x14ac:dyDescent="0.45">
      <c r="A35" s="62"/>
      <c r="B35" s="194"/>
      <c r="O35" s="167"/>
      <c r="P35" s="300"/>
    </row>
  </sheetData>
  <mergeCells count="2">
    <mergeCell ref="G30:I30"/>
    <mergeCell ref="L29:N30"/>
  </mergeCells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topLeftCell="B4" zoomScaleNormal="100" workbookViewId="0">
      <selection activeCell="N23" sqref="N23"/>
    </sheetView>
  </sheetViews>
  <sheetFormatPr defaultRowHeight="17.25" customHeight="1" x14ac:dyDescent="0.2"/>
  <cols>
    <col min="1" max="1" width="4.75" style="264" customWidth="1"/>
    <col min="2" max="2" width="15.25" style="127" customWidth="1"/>
    <col min="3" max="14" width="8.375" style="27" customWidth="1"/>
    <col min="15" max="15" width="10" style="297" customWidth="1"/>
    <col min="16" max="16" width="9.625" style="295" customWidth="1"/>
    <col min="17" max="16384" width="9" style="27"/>
  </cols>
  <sheetData>
    <row r="1" spans="1:17" s="11" customFormat="1" ht="17.25" customHeight="1" x14ac:dyDescent="0.2">
      <c r="A1" s="100"/>
      <c r="B1" s="126"/>
      <c r="C1" s="9"/>
      <c r="D1" s="10" t="s">
        <v>60</v>
      </c>
      <c r="E1" s="9"/>
      <c r="F1" s="9"/>
      <c r="G1" s="9"/>
      <c r="H1" s="9"/>
      <c r="K1" s="10" t="str">
        <f>'2.2วสด.สนง'!K1</f>
        <v xml:space="preserve"> ปีงบประมาณ   2561</v>
      </c>
      <c r="L1" s="9"/>
      <c r="M1" s="9"/>
      <c r="N1" s="9"/>
      <c r="O1" s="162"/>
      <c r="P1" s="294"/>
      <c r="Q1" s="60"/>
    </row>
    <row r="2" spans="1:17" s="11" customFormat="1" ht="17.25" customHeight="1" x14ac:dyDescent="0.2">
      <c r="A2" s="100"/>
      <c r="B2" s="126"/>
      <c r="C2" s="10" t="str">
        <f>'[1]1.1.ยา(ทั่วไป)'!C2</f>
        <v>จาก ฝ่ายเภสัชกรรมชุมชน  โรงพยาบาลกุมภวาปี</v>
      </c>
      <c r="D2" s="9"/>
      <c r="F2" s="9"/>
      <c r="G2" s="9"/>
      <c r="I2" s="9"/>
      <c r="J2" s="9"/>
      <c r="K2" s="9"/>
      <c r="M2" s="12"/>
      <c r="N2" s="13" t="str">
        <f>'2.รวมวชย ทุกประเภท'!N2</f>
        <v xml:space="preserve">รายงานข้อมูลณ วันที่ 28/9/61 </v>
      </c>
      <c r="O2" s="165"/>
      <c r="P2" s="294"/>
      <c r="Q2" s="60"/>
    </row>
    <row r="3" spans="1:17" ht="6.75" customHeight="1" x14ac:dyDescent="0.2"/>
    <row r="4" spans="1:17" ht="17.25" customHeight="1" x14ac:dyDescent="0.2">
      <c r="A4" s="25" t="s">
        <v>0</v>
      </c>
      <c r="B4" s="26" t="s">
        <v>1</v>
      </c>
      <c r="C4" s="254" t="s">
        <v>27</v>
      </c>
      <c r="D4" s="254" t="s">
        <v>28</v>
      </c>
      <c r="E4" s="254" t="s">
        <v>29</v>
      </c>
      <c r="F4" s="254" t="s">
        <v>30</v>
      </c>
      <c r="G4" s="254" t="s">
        <v>31</v>
      </c>
      <c r="H4" s="254" t="s">
        <v>32</v>
      </c>
      <c r="I4" s="254" t="s">
        <v>33</v>
      </c>
      <c r="J4" s="254" t="s">
        <v>34</v>
      </c>
      <c r="K4" s="254" t="s">
        <v>35</v>
      </c>
      <c r="L4" s="254" t="s">
        <v>36</v>
      </c>
      <c r="M4" s="254" t="s">
        <v>37</v>
      </c>
      <c r="N4" s="254" t="s">
        <v>38</v>
      </c>
      <c r="O4" s="298" t="s">
        <v>39</v>
      </c>
      <c r="P4" s="296" t="s">
        <v>40</v>
      </c>
    </row>
    <row r="5" spans="1:17" ht="17.25" customHeight="1" x14ac:dyDescent="0.2">
      <c r="A5" s="25">
        <v>1</v>
      </c>
      <c r="B5" s="26" t="s">
        <v>18</v>
      </c>
      <c r="C5" s="36">
        <v>0</v>
      </c>
      <c r="D5" s="36">
        <f>460+550+345+1100+320+550+660+230</f>
        <v>4215</v>
      </c>
      <c r="E5" s="36">
        <v>0</v>
      </c>
      <c r="F5" s="36">
        <f>535+535+120</f>
        <v>1190</v>
      </c>
      <c r="G5" s="36">
        <f>535+535+550+1650</f>
        <v>3270</v>
      </c>
      <c r="H5" s="36">
        <v>0</v>
      </c>
      <c r="I5" s="36">
        <v>0</v>
      </c>
      <c r="J5" s="36">
        <f>540+575+1100+1050</f>
        <v>3265</v>
      </c>
      <c r="K5" s="36">
        <f>535+220+700</f>
        <v>1455</v>
      </c>
      <c r="L5" s="36">
        <f>535+140+345+880+880</f>
        <v>2780</v>
      </c>
      <c r="M5" s="36">
        <f>360+700+1100</f>
        <v>2160</v>
      </c>
      <c r="N5" s="36">
        <v>345</v>
      </c>
      <c r="O5" s="271">
        <f>SUM(C5:N5)</f>
        <v>18680</v>
      </c>
      <c r="P5" s="290">
        <f t="shared" ref="P5:P27" si="0">O5/$O$23</f>
        <v>0.12282593815543055</v>
      </c>
    </row>
    <row r="6" spans="1:17" ht="17.25" customHeight="1" x14ac:dyDescent="0.2">
      <c r="A6" s="25">
        <v>2</v>
      </c>
      <c r="B6" s="26" t="s">
        <v>19</v>
      </c>
      <c r="C6" s="36">
        <v>0</v>
      </c>
      <c r="D6" s="36">
        <f>1650+550</f>
        <v>2200</v>
      </c>
      <c r="E6" s="36">
        <v>0</v>
      </c>
      <c r="F6" s="36">
        <v>0</v>
      </c>
      <c r="G6" s="36">
        <v>1620</v>
      </c>
      <c r="H6" s="36">
        <v>1710</v>
      </c>
      <c r="I6" s="36">
        <f>1100+640</f>
        <v>1740</v>
      </c>
      <c r="J6" s="36">
        <v>0</v>
      </c>
      <c r="K6" s="36">
        <v>1370</v>
      </c>
      <c r="L6" s="36">
        <v>1190</v>
      </c>
      <c r="M6" s="36">
        <v>432</v>
      </c>
      <c r="N6" s="36">
        <v>230</v>
      </c>
      <c r="O6" s="271">
        <f t="shared" ref="O6:O27" si="1">SUM(C6:N6)</f>
        <v>10492</v>
      </c>
      <c r="P6" s="290">
        <f t="shared" si="0"/>
        <v>6.8987673614923847E-2</v>
      </c>
    </row>
    <row r="7" spans="1:17" ht="17.25" customHeight="1" x14ac:dyDescent="0.2">
      <c r="A7" s="25">
        <v>3</v>
      </c>
      <c r="B7" s="26" t="s">
        <v>20</v>
      </c>
      <c r="C7" s="36">
        <v>320</v>
      </c>
      <c r="D7" s="36">
        <v>0</v>
      </c>
      <c r="E7" s="36">
        <v>220</v>
      </c>
      <c r="F7" s="36">
        <v>175</v>
      </c>
      <c r="G7" s="36">
        <v>0</v>
      </c>
      <c r="H7" s="36">
        <v>1070</v>
      </c>
      <c r="I7" s="36">
        <f>320+321</f>
        <v>641</v>
      </c>
      <c r="J7" s="36">
        <v>0</v>
      </c>
      <c r="K7" s="36">
        <v>0</v>
      </c>
      <c r="L7" s="36">
        <f>540+320+550</f>
        <v>1410</v>
      </c>
      <c r="M7" s="36">
        <v>0</v>
      </c>
      <c r="N7" s="36">
        <v>1100</v>
      </c>
      <c r="O7" s="271">
        <f t="shared" si="1"/>
        <v>4936</v>
      </c>
      <c r="P7" s="290">
        <f t="shared" si="0"/>
        <v>3.2455504857345031E-2</v>
      </c>
    </row>
    <row r="8" spans="1:17" ht="17.25" customHeight="1" x14ac:dyDescent="0.2">
      <c r="A8" s="25">
        <v>4</v>
      </c>
      <c r="B8" s="26" t="s">
        <v>21</v>
      </c>
      <c r="C8" s="36">
        <v>0</v>
      </c>
      <c r="D8" s="36">
        <v>0</v>
      </c>
      <c r="E8" s="36">
        <f>115+1100</f>
        <v>1215</v>
      </c>
      <c r="F8" s="36">
        <f>550+120</f>
        <v>670</v>
      </c>
      <c r="G8" s="36">
        <v>2140</v>
      </c>
      <c r="H8" s="36">
        <v>0</v>
      </c>
      <c r="I8" s="36">
        <f>1070+2200+535+600+320+1100</f>
        <v>5825</v>
      </c>
      <c r="J8" s="36">
        <v>0</v>
      </c>
      <c r="K8" s="36">
        <v>0</v>
      </c>
      <c r="L8" s="36">
        <v>0</v>
      </c>
      <c r="M8" s="36">
        <f>1100+750</f>
        <v>1850</v>
      </c>
      <c r="N8" s="36">
        <v>0</v>
      </c>
      <c r="O8" s="271">
        <f t="shared" si="1"/>
        <v>11700</v>
      </c>
      <c r="P8" s="290">
        <f t="shared" si="0"/>
        <v>7.6930592956024488E-2</v>
      </c>
    </row>
    <row r="9" spans="1:17" ht="17.25" customHeight="1" x14ac:dyDescent="0.2">
      <c r="A9" s="25">
        <v>5</v>
      </c>
      <c r="B9" s="26" t="s">
        <v>2</v>
      </c>
      <c r="C9" s="36">
        <f>320+960+560</f>
        <v>1840</v>
      </c>
      <c r="D9" s="36">
        <f>570+700</f>
        <v>1270</v>
      </c>
      <c r="E9" s="36">
        <v>0</v>
      </c>
      <c r="F9" s="36">
        <f>63+1050+150</f>
        <v>1263</v>
      </c>
      <c r="G9" s="36">
        <v>0</v>
      </c>
      <c r="H9" s="36">
        <f>220+214+700</f>
        <v>1134</v>
      </c>
      <c r="I9" s="36">
        <v>0</v>
      </c>
      <c r="J9" s="36">
        <v>0</v>
      </c>
      <c r="K9" s="36">
        <f>214+550+700</f>
        <v>1464</v>
      </c>
      <c r="L9" s="36">
        <v>321</v>
      </c>
      <c r="M9" s="36">
        <f>540+540+1400</f>
        <v>2480</v>
      </c>
      <c r="N9" s="36">
        <v>0</v>
      </c>
      <c r="O9" s="271">
        <f t="shared" si="1"/>
        <v>9772</v>
      </c>
      <c r="P9" s="290">
        <f t="shared" si="0"/>
        <v>6.4253483279168494E-2</v>
      </c>
    </row>
    <row r="10" spans="1:17" ht="17.25" customHeight="1" x14ac:dyDescent="0.2">
      <c r="A10" s="25">
        <v>6</v>
      </c>
      <c r="B10" s="26" t="s">
        <v>3</v>
      </c>
      <c r="C10" s="36">
        <v>0</v>
      </c>
      <c r="D10" s="36">
        <f>570+700</f>
        <v>1270</v>
      </c>
      <c r="E10" s="36">
        <v>0</v>
      </c>
      <c r="F10" s="36">
        <v>1420</v>
      </c>
      <c r="G10" s="36">
        <v>5070</v>
      </c>
      <c r="H10" s="36">
        <v>0</v>
      </c>
      <c r="I10" s="36">
        <v>0</v>
      </c>
      <c r="J10" s="36">
        <v>0</v>
      </c>
      <c r="K10" s="36">
        <v>0</v>
      </c>
      <c r="L10" s="36">
        <v>1760</v>
      </c>
      <c r="M10" s="36">
        <v>64</v>
      </c>
      <c r="N10" s="36">
        <f>875+960+700+320</f>
        <v>2855</v>
      </c>
      <c r="O10" s="271">
        <f t="shared" si="1"/>
        <v>12439</v>
      </c>
      <c r="P10" s="290">
        <f t="shared" si="0"/>
        <v>8.1789713314528945E-2</v>
      </c>
    </row>
    <row r="11" spans="1:17" ht="17.25" customHeight="1" x14ac:dyDescent="0.2">
      <c r="A11" s="25">
        <v>7</v>
      </c>
      <c r="B11" s="26" t="s">
        <v>4</v>
      </c>
      <c r="C11" s="36">
        <v>0</v>
      </c>
      <c r="D11" s="36">
        <v>3390</v>
      </c>
      <c r="E11" s="36">
        <v>0</v>
      </c>
      <c r="F11" s="36">
        <f>1750+640</f>
        <v>2390</v>
      </c>
      <c r="G11" s="36">
        <v>0</v>
      </c>
      <c r="H11" s="36">
        <v>0</v>
      </c>
      <c r="I11" s="36">
        <f>700+640</f>
        <v>1340</v>
      </c>
      <c r="J11" s="36">
        <v>826</v>
      </c>
      <c r="K11" s="36">
        <v>0</v>
      </c>
      <c r="L11" s="36">
        <v>0</v>
      </c>
      <c r="M11" s="36">
        <v>0</v>
      </c>
      <c r="N11" s="36">
        <f>700+550+640+1750+540</f>
        <v>4180</v>
      </c>
      <c r="O11" s="271">
        <f t="shared" si="1"/>
        <v>12126</v>
      </c>
      <c r="P11" s="290">
        <f t="shared" si="0"/>
        <v>7.9731655571346413E-2</v>
      </c>
    </row>
    <row r="12" spans="1:17" ht="17.25" customHeight="1" x14ac:dyDescent="0.2">
      <c r="A12" s="25">
        <v>9</v>
      </c>
      <c r="B12" s="26" t="s">
        <v>5</v>
      </c>
      <c r="C12" s="36">
        <v>0</v>
      </c>
      <c r="D12" s="36">
        <f>550+550+115</f>
        <v>1215</v>
      </c>
      <c r="E12" s="36">
        <f>550+480+1750+120</f>
        <v>2900</v>
      </c>
      <c r="F12" s="36">
        <v>1050</v>
      </c>
      <c r="G12" s="36">
        <v>0</v>
      </c>
      <c r="H12" s="36">
        <f>535+1400</f>
        <v>1935</v>
      </c>
      <c r="I12" s="36">
        <f>115+112+220+108+700+640+550</f>
        <v>2445</v>
      </c>
      <c r="J12" s="36">
        <v>0</v>
      </c>
      <c r="K12" s="36">
        <v>0</v>
      </c>
      <c r="L12" s="36">
        <v>220</v>
      </c>
      <c r="M12" s="36">
        <v>0</v>
      </c>
      <c r="N12" s="36">
        <v>0</v>
      </c>
      <c r="O12" s="271">
        <f t="shared" si="1"/>
        <v>9765</v>
      </c>
      <c r="P12" s="290">
        <f t="shared" si="0"/>
        <v>6.4207456428681975E-2</v>
      </c>
    </row>
    <row r="13" spans="1:17" ht="17.25" customHeight="1" x14ac:dyDescent="0.2">
      <c r="A13" s="25">
        <v>10</v>
      </c>
      <c r="B13" s="26" t="s">
        <v>6</v>
      </c>
      <c r="C13" s="36">
        <v>0</v>
      </c>
      <c r="D13" s="36">
        <f>230+600+1100+350+640</f>
        <v>2920</v>
      </c>
      <c r="E13" s="36">
        <v>550</v>
      </c>
      <c r="F13" s="36">
        <v>0</v>
      </c>
      <c r="G13" s="36">
        <v>700</v>
      </c>
      <c r="H13" s="36">
        <v>0</v>
      </c>
      <c r="I13" s="36">
        <f>224+324+1750+1100</f>
        <v>3398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271">
        <f t="shared" si="1"/>
        <v>7568</v>
      </c>
      <c r="P13" s="290">
        <f t="shared" si="0"/>
        <v>4.9761600640272935E-2</v>
      </c>
    </row>
    <row r="14" spans="1:17" ht="17.25" customHeight="1" x14ac:dyDescent="0.2">
      <c r="A14" s="25">
        <v>11</v>
      </c>
      <c r="B14" s="26" t="s">
        <v>7</v>
      </c>
      <c r="C14" s="36">
        <v>0</v>
      </c>
      <c r="D14" s="36">
        <v>685</v>
      </c>
      <c r="E14" s="36">
        <v>0</v>
      </c>
      <c r="F14" s="36">
        <v>1250</v>
      </c>
      <c r="G14" s="36">
        <f>638.65+535</f>
        <v>1173.6500000000001</v>
      </c>
      <c r="H14" s="36">
        <v>0</v>
      </c>
      <c r="I14" s="36">
        <v>0</v>
      </c>
      <c r="J14" s="36">
        <v>2400</v>
      </c>
      <c r="K14" s="36">
        <v>0</v>
      </c>
      <c r="L14" s="36">
        <v>0</v>
      </c>
      <c r="M14" s="36">
        <v>655</v>
      </c>
      <c r="N14" s="36">
        <v>640</v>
      </c>
      <c r="O14" s="271">
        <f t="shared" si="1"/>
        <v>6803.65</v>
      </c>
      <c r="P14" s="290">
        <f t="shared" si="0"/>
        <v>4.4735797330363765E-2</v>
      </c>
    </row>
    <row r="15" spans="1:17" ht="17.25" customHeight="1" x14ac:dyDescent="0.2">
      <c r="A15" s="25">
        <v>12</v>
      </c>
      <c r="B15" s="26" t="s">
        <v>8</v>
      </c>
      <c r="C15" s="36">
        <v>600</v>
      </c>
      <c r="D15" s="36">
        <v>0</v>
      </c>
      <c r="E15" s="36">
        <f>1400+640</f>
        <v>2040</v>
      </c>
      <c r="F15" s="36">
        <v>550</v>
      </c>
      <c r="G15" s="36">
        <f>115+428+350+275</f>
        <v>1168</v>
      </c>
      <c r="H15" s="36">
        <v>0</v>
      </c>
      <c r="I15" s="36">
        <v>0</v>
      </c>
      <c r="J15" s="36">
        <v>0</v>
      </c>
      <c r="K15" s="36">
        <f>1750+640+825</f>
        <v>3215</v>
      </c>
      <c r="L15" s="36">
        <v>0</v>
      </c>
      <c r="M15" s="36">
        <v>550</v>
      </c>
      <c r="N15" s="36">
        <v>0</v>
      </c>
      <c r="O15" s="271">
        <f t="shared" si="1"/>
        <v>8123</v>
      </c>
      <c r="P15" s="290">
        <f t="shared" si="0"/>
        <v>5.3410872357417691E-2</v>
      </c>
    </row>
    <row r="16" spans="1:17" ht="17.25" customHeight="1" x14ac:dyDescent="0.2">
      <c r="A16" s="25">
        <v>13</v>
      </c>
      <c r="B16" s="26" t="s">
        <v>9</v>
      </c>
      <c r="C16" s="36">
        <v>220</v>
      </c>
      <c r="D16" s="36">
        <f>288+32</f>
        <v>320</v>
      </c>
      <c r="E16" s="36">
        <v>275</v>
      </c>
      <c r="F16" s="36">
        <f>230+330</f>
        <v>560</v>
      </c>
      <c r="G16" s="36">
        <v>0</v>
      </c>
      <c r="H16" s="36">
        <v>0</v>
      </c>
      <c r="I16" s="36">
        <v>320</v>
      </c>
      <c r="J16" s="36">
        <v>350</v>
      </c>
      <c r="K16" s="36">
        <v>0</v>
      </c>
      <c r="L16" s="36">
        <f>220+275</f>
        <v>495</v>
      </c>
      <c r="M16" s="36">
        <v>352</v>
      </c>
      <c r="N16" s="36">
        <v>0</v>
      </c>
      <c r="O16" s="271">
        <f t="shared" si="1"/>
        <v>2892</v>
      </c>
      <c r="P16" s="290">
        <f t="shared" si="0"/>
        <v>1.9015664515284005E-2</v>
      </c>
    </row>
    <row r="17" spans="1:17" ht="17.25" customHeight="1" x14ac:dyDescent="0.2">
      <c r="A17" s="25">
        <v>14</v>
      </c>
      <c r="B17" s="26" t="s">
        <v>10</v>
      </c>
      <c r="C17" s="36">
        <v>0</v>
      </c>
      <c r="D17" s="36">
        <v>4810.83</v>
      </c>
      <c r="E17" s="36">
        <v>0</v>
      </c>
      <c r="F17" s="36">
        <v>0</v>
      </c>
      <c r="G17" s="36">
        <v>0</v>
      </c>
      <c r="H17" s="36">
        <v>0</v>
      </c>
      <c r="I17" s="36">
        <v>35</v>
      </c>
      <c r="J17" s="36">
        <v>348</v>
      </c>
      <c r="K17" s="36">
        <v>0</v>
      </c>
      <c r="L17" s="36">
        <v>0</v>
      </c>
      <c r="M17" s="36">
        <v>0</v>
      </c>
      <c r="N17" s="36">
        <f>320+550</f>
        <v>870</v>
      </c>
      <c r="O17" s="271">
        <f t="shared" si="1"/>
        <v>6063.83</v>
      </c>
      <c r="P17" s="290">
        <f t="shared" si="0"/>
        <v>3.9871285255088033E-2</v>
      </c>
    </row>
    <row r="18" spans="1:17" ht="17.25" customHeight="1" x14ac:dyDescent="0.2">
      <c r="A18" s="25">
        <v>15</v>
      </c>
      <c r="B18" s="26" t="s">
        <v>11</v>
      </c>
      <c r="C18" s="36">
        <v>0</v>
      </c>
      <c r="D18" s="36">
        <v>115.66</v>
      </c>
      <c r="E18" s="36">
        <f>700+640+550</f>
        <v>1890</v>
      </c>
      <c r="F18" s="36">
        <v>320</v>
      </c>
      <c r="G18" s="36">
        <v>0</v>
      </c>
      <c r="H18" s="36">
        <v>0</v>
      </c>
      <c r="I18" s="36">
        <v>0</v>
      </c>
      <c r="J18" s="36">
        <v>107</v>
      </c>
      <c r="K18" s="36">
        <v>0</v>
      </c>
      <c r="L18" s="36">
        <f>108+550</f>
        <v>658</v>
      </c>
      <c r="M18" s="36">
        <v>216</v>
      </c>
      <c r="N18" s="36">
        <v>0</v>
      </c>
      <c r="O18" s="271">
        <f t="shared" si="1"/>
        <v>3306.66</v>
      </c>
      <c r="P18" s="290">
        <f t="shared" si="0"/>
        <v>2.1742163632817772E-2</v>
      </c>
    </row>
    <row r="19" spans="1:17" ht="17.25" customHeight="1" x14ac:dyDescent="0.2">
      <c r="A19" s="25">
        <v>16</v>
      </c>
      <c r="B19" s="26" t="s">
        <v>12</v>
      </c>
      <c r="C19" s="36">
        <v>0</v>
      </c>
      <c r="D19" s="36">
        <f>345+440+1100</f>
        <v>1885</v>
      </c>
      <c r="E19" s="36">
        <f>440+1050</f>
        <v>1490</v>
      </c>
      <c r="F19" s="36">
        <f>550+1050</f>
        <v>1600</v>
      </c>
      <c r="G19" s="36">
        <v>0</v>
      </c>
      <c r="H19" s="36">
        <v>275</v>
      </c>
      <c r="I19" s="36">
        <f>321+535+700</f>
        <v>1556</v>
      </c>
      <c r="J19" s="36">
        <f>535+320+550</f>
        <v>1405</v>
      </c>
      <c r="K19" s="36">
        <f>345+330+1050+320+550+550+330</f>
        <v>3475</v>
      </c>
      <c r="L19" s="36">
        <v>0</v>
      </c>
      <c r="M19" s="36">
        <v>550</v>
      </c>
      <c r="N19" s="36">
        <f>550+540+550</f>
        <v>1640</v>
      </c>
      <c r="O19" s="271">
        <f t="shared" si="1"/>
        <v>13876</v>
      </c>
      <c r="P19" s="290">
        <f t="shared" si="0"/>
        <v>9.1238368192974012E-2</v>
      </c>
    </row>
    <row r="20" spans="1:17" ht="17.25" customHeight="1" x14ac:dyDescent="0.2">
      <c r="A20" s="25">
        <v>17</v>
      </c>
      <c r="B20" s="128" t="s">
        <v>13</v>
      </c>
      <c r="C20" s="36">
        <v>0</v>
      </c>
      <c r="D20" s="36">
        <v>0</v>
      </c>
      <c r="E20" s="36">
        <v>0</v>
      </c>
      <c r="F20" s="36">
        <v>0</v>
      </c>
      <c r="G20" s="36">
        <v>700</v>
      </c>
      <c r="H20" s="36">
        <v>0</v>
      </c>
      <c r="I20" s="36">
        <v>0</v>
      </c>
      <c r="J20" s="36">
        <v>0</v>
      </c>
      <c r="K20" s="36">
        <v>700</v>
      </c>
      <c r="L20" s="36">
        <v>0</v>
      </c>
      <c r="M20" s="36">
        <v>275</v>
      </c>
      <c r="N20" s="36">
        <v>0</v>
      </c>
      <c r="O20" s="271">
        <f t="shared" si="1"/>
        <v>1675</v>
      </c>
      <c r="P20" s="290">
        <f t="shared" si="0"/>
        <v>1.1013567794986412E-2</v>
      </c>
    </row>
    <row r="21" spans="1:17" ht="17.25" customHeight="1" x14ac:dyDescent="0.2">
      <c r="A21" s="25">
        <v>18</v>
      </c>
      <c r="B21" s="26" t="s">
        <v>14</v>
      </c>
      <c r="C21" s="36">
        <f>490+640</f>
        <v>1130</v>
      </c>
      <c r="D21" s="36">
        <v>780</v>
      </c>
      <c r="E21" s="36">
        <v>0</v>
      </c>
      <c r="F21" s="36">
        <v>0</v>
      </c>
      <c r="G21" s="36">
        <f>220+1050+275</f>
        <v>1545</v>
      </c>
      <c r="H21" s="36">
        <v>0</v>
      </c>
      <c r="I21" s="36">
        <v>564</v>
      </c>
      <c r="J21" s="36">
        <v>0</v>
      </c>
      <c r="K21" s="36">
        <v>945</v>
      </c>
      <c r="L21" s="36">
        <v>245</v>
      </c>
      <c r="M21" s="36">
        <f>793+933</f>
        <v>1726</v>
      </c>
      <c r="N21" s="36">
        <v>1596</v>
      </c>
      <c r="O21" s="271">
        <f t="shared" si="1"/>
        <v>8531</v>
      </c>
      <c r="P21" s="290">
        <f t="shared" si="0"/>
        <v>5.6093580214345726E-2</v>
      </c>
    </row>
    <row r="22" spans="1:17" ht="17.25" customHeight="1" x14ac:dyDescent="0.2">
      <c r="A22" s="25">
        <v>19</v>
      </c>
      <c r="B22" s="26" t="s">
        <v>15</v>
      </c>
      <c r="C22" s="36">
        <v>0</v>
      </c>
      <c r="D22" s="36">
        <v>0</v>
      </c>
      <c r="E22" s="36">
        <v>110</v>
      </c>
      <c r="F22" s="36">
        <v>0</v>
      </c>
      <c r="G22" s="36">
        <f>840+110+120</f>
        <v>1070</v>
      </c>
      <c r="H22" s="36">
        <v>0</v>
      </c>
      <c r="I22" s="36">
        <f>107+420+192</f>
        <v>719</v>
      </c>
      <c r="J22" s="36">
        <v>0</v>
      </c>
      <c r="K22" s="36">
        <v>525</v>
      </c>
      <c r="L22" s="36">
        <f>420+384</f>
        <v>804</v>
      </c>
      <c r="M22" s="36">
        <f>108</f>
        <v>108</v>
      </c>
      <c r="N22" s="36">
        <v>0</v>
      </c>
      <c r="O22" s="271">
        <f t="shared" si="1"/>
        <v>3336</v>
      </c>
      <c r="P22" s="290">
        <f t="shared" si="0"/>
        <v>2.1935081888999803E-2</v>
      </c>
    </row>
    <row r="23" spans="1:17" s="48" customFormat="1" ht="17.25" customHeight="1" x14ac:dyDescent="0.2">
      <c r="A23" s="45">
        <v>5.486111111111111E-2</v>
      </c>
      <c r="B23" s="154" t="s">
        <v>22</v>
      </c>
      <c r="C23" s="42">
        <f t="shared" ref="C23:N23" si="2">SUM(C5:C22)</f>
        <v>4110</v>
      </c>
      <c r="D23" s="42">
        <f t="shared" si="2"/>
        <v>25076.49</v>
      </c>
      <c r="E23" s="42">
        <f t="shared" si="2"/>
        <v>10690</v>
      </c>
      <c r="F23" s="42">
        <f t="shared" si="2"/>
        <v>12438</v>
      </c>
      <c r="G23" s="42">
        <f t="shared" si="2"/>
        <v>18456.650000000001</v>
      </c>
      <c r="H23" s="42">
        <f t="shared" si="2"/>
        <v>6124</v>
      </c>
      <c r="I23" s="42">
        <f t="shared" si="2"/>
        <v>18583</v>
      </c>
      <c r="J23" s="42">
        <f t="shared" si="2"/>
        <v>8701</v>
      </c>
      <c r="K23" s="42">
        <f t="shared" si="2"/>
        <v>13149</v>
      </c>
      <c r="L23" s="42">
        <f t="shared" si="2"/>
        <v>9883</v>
      </c>
      <c r="M23" s="42">
        <f t="shared" si="2"/>
        <v>11418</v>
      </c>
      <c r="N23" s="42">
        <f t="shared" si="2"/>
        <v>13456</v>
      </c>
      <c r="O23" s="54">
        <f t="shared" si="1"/>
        <v>152085.14000000001</v>
      </c>
      <c r="P23" s="291">
        <f t="shared" si="0"/>
        <v>1</v>
      </c>
    </row>
    <row r="24" spans="1:17" ht="17.25" customHeight="1" x14ac:dyDescent="0.2">
      <c r="A24" s="30">
        <v>20</v>
      </c>
      <c r="B24" s="31" t="s">
        <v>16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115</v>
      </c>
      <c r="J24" s="36">
        <v>0</v>
      </c>
      <c r="K24" s="36">
        <v>0</v>
      </c>
      <c r="L24" s="36">
        <v>0</v>
      </c>
      <c r="M24" s="36">
        <v>0</v>
      </c>
      <c r="N24" s="36"/>
      <c r="O24" s="271">
        <f t="shared" si="1"/>
        <v>115</v>
      </c>
      <c r="P24" s="290">
        <f t="shared" si="0"/>
        <v>7.5615540084981341E-4</v>
      </c>
    </row>
    <row r="25" spans="1:17" ht="17.25" customHeight="1" x14ac:dyDescent="0.2">
      <c r="A25" s="30">
        <v>21</v>
      </c>
      <c r="B25" s="26" t="s">
        <v>17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/>
      <c r="O25" s="271">
        <f t="shared" si="1"/>
        <v>0</v>
      </c>
      <c r="P25" s="290">
        <f t="shared" si="0"/>
        <v>0</v>
      </c>
    </row>
    <row r="26" spans="1:17" s="48" customFormat="1" ht="17.25" customHeight="1" x14ac:dyDescent="0.2">
      <c r="A26" s="49" t="s">
        <v>24</v>
      </c>
      <c r="B26" s="152" t="s">
        <v>23</v>
      </c>
      <c r="C26" s="41">
        <f>C24+C25</f>
        <v>0</v>
      </c>
      <c r="D26" s="41">
        <f t="shared" ref="D26:N26" si="3">D24+D25</f>
        <v>0</v>
      </c>
      <c r="E26" s="41">
        <f t="shared" si="3"/>
        <v>0</v>
      </c>
      <c r="F26" s="41">
        <f t="shared" si="3"/>
        <v>0</v>
      </c>
      <c r="G26" s="41">
        <f t="shared" si="3"/>
        <v>0</v>
      </c>
      <c r="H26" s="41">
        <f t="shared" si="3"/>
        <v>0</v>
      </c>
      <c r="I26" s="41">
        <f t="shared" si="3"/>
        <v>115</v>
      </c>
      <c r="J26" s="41">
        <f t="shared" si="3"/>
        <v>0</v>
      </c>
      <c r="K26" s="41">
        <f t="shared" si="3"/>
        <v>0</v>
      </c>
      <c r="L26" s="41">
        <f t="shared" si="3"/>
        <v>0</v>
      </c>
      <c r="M26" s="41">
        <f t="shared" si="3"/>
        <v>0</v>
      </c>
      <c r="N26" s="41">
        <f t="shared" si="3"/>
        <v>0</v>
      </c>
      <c r="O26" s="276">
        <f t="shared" si="1"/>
        <v>115</v>
      </c>
      <c r="P26" s="292">
        <f t="shared" si="0"/>
        <v>7.5615540084981341E-4</v>
      </c>
    </row>
    <row r="27" spans="1:17" s="55" customFormat="1" ht="17.25" customHeight="1" x14ac:dyDescent="0.2">
      <c r="A27" s="203" t="s">
        <v>26</v>
      </c>
      <c r="B27" s="208" t="s">
        <v>25</v>
      </c>
      <c r="C27" s="282">
        <f>C23+C26</f>
        <v>4110</v>
      </c>
      <c r="D27" s="282">
        <f t="shared" ref="D27:N27" si="4">D23+D26</f>
        <v>25076.49</v>
      </c>
      <c r="E27" s="282">
        <f t="shared" si="4"/>
        <v>10690</v>
      </c>
      <c r="F27" s="282">
        <f t="shared" si="4"/>
        <v>12438</v>
      </c>
      <c r="G27" s="282">
        <f t="shared" si="4"/>
        <v>18456.650000000001</v>
      </c>
      <c r="H27" s="282">
        <f t="shared" si="4"/>
        <v>6124</v>
      </c>
      <c r="I27" s="282">
        <f t="shared" si="4"/>
        <v>18698</v>
      </c>
      <c r="J27" s="282">
        <f t="shared" si="4"/>
        <v>8701</v>
      </c>
      <c r="K27" s="282">
        <f t="shared" si="4"/>
        <v>13149</v>
      </c>
      <c r="L27" s="282">
        <f t="shared" si="4"/>
        <v>9883</v>
      </c>
      <c r="M27" s="282">
        <f t="shared" si="4"/>
        <v>11418</v>
      </c>
      <c r="N27" s="282">
        <f t="shared" si="4"/>
        <v>13456</v>
      </c>
      <c r="O27" s="283">
        <f t="shared" si="1"/>
        <v>152200.14000000001</v>
      </c>
      <c r="P27" s="293">
        <f t="shared" si="0"/>
        <v>1.0007561554008497</v>
      </c>
    </row>
    <row r="28" spans="1:17" s="114" customFormat="1" ht="18" customHeight="1" x14ac:dyDescent="0.45">
      <c r="A28" s="62"/>
      <c r="B28" s="194"/>
      <c r="O28" s="167"/>
      <c r="P28" s="300"/>
    </row>
    <row r="29" spans="1:17" s="114" customFormat="1" ht="18" customHeight="1" x14ac:dyDescent="0.45">
      <c r="A29" s="62"/>
      <c r="B29" s="194"/>
      <c r="L29" s="364" t="s">
        <v>50</v>
      </c>
      <c r="M29" s="364"/>
      <c r="N29" s="364"/>
      <c r="O29" s="167"/>
      <c r="P29" s="300"/>
    </row>
    <row r="30" spans="1:17" s="114" customFormat="1" ht="18" customHeight="1" x14ac:dyDescent="0.45">
      <c r="A30" s="62"/>
      <c r="B30" s="194"/>
      <c r="G30" s="364" t="s">
        <v>81</v>
      </c>
      <c r="H30" s="364"/>
      <c r="I30" s="364"/>
      <c r="J30" s="15"/>
      <c r="K30" s="15"/>
      <c r="L30" s="364"/>
      <c r="M30" s="364"/>
      <c r="N30" s="364"/>
      <c r="O30" s="167"/>
      <c r="P30" s="300"/>
    </row>
    <row r="31" spans="1:17" s="114" customFormat="1" ht="18" customHeight="1" x14ac:dyDescent="0.45">
      <c r="A31" s="62"/>
      <c r="B31" s="194"/>
      <c r="G31" s="15"/>
      <c r="H31" s="15" t="s">
        <v>51</v>
      </c>
      <c r="I31" s="15"/>
      <c r="J31" s="15"/>
      <c r="K31" s="15"/>
      <c r="L31" s="17"/>
      <c r="M31" s="15" t="s">
        <v>52</v>
      </c>
      <c r="N31" s="18"/>
      <c r="O31" s="167"/>
      <c r="P31" s="300"/>
    </row>
    <row r="32" spans="1:17" s="114" customFormat="1" ht="18" customHeight="1" x14ac:dyDescent="0.45">
      <c r="A32" s="62"/>
      <c r="B32" s="194"/>
      <c r="G32" s="15"/>
      <c r="H32" s="17" t="s">
        <v>53</v>
      </c>
      <c r="I32" s="17"/>
      <c r="J32" s="17"/>
      <c r="K32" s="15"/>
      <c r="L32" s="17"/>
      <c r="M32" s="15" t="s">
        <v>54</v>
      </c>
      <c r="N32" s="18"/>
      <c r="O32" s="167"/>
      <c r="P32" s="300"/>
      <c r="Q32" s="114">
        <v>0</v>
      </c>
    </row>
    <row r="33" spans="1:16" s="114" customFormat="1" ht="18" customHeight="1" x14ac:dyDescent="0.45">
      <c r="A33" s="62"/>
      <c r="B33" s="194"/>
      <c r="G33" s="17"/>
      <c r="H33" s="17"/>
      <c r="I33" s="17"/>
      <c r="J33" s="17"/>
      <c r="K33" s="15"/>
      <c r="L33" s="17"/>
      <c r="M33" s="17"/>
      <c r="N33" s="19"/>
      <c r="O33" s="167"/>
      <c r="P33" s="300"/>
    </row>
    <row r="34" spans="1:16" s="114" customFormat="1" ht="18" customHeight="1" x14ac:dyDescent="0.45">
      <c r="A34" s="62"/>
      <c r="B34" s="194"/>
      <c r="O34" s="167"/>
      <c r="P34" s="300"/>
    </row>
    <row r="35" spans="1:16" s="114" customFormat="1" ht="18" customHeight="1" x14ac:dyDescent="0.45">
      <c r="A35" s="62"/>
      <c r="B35" s="194"/>
      <c r="O35" s="167"/>
      <c r="P35" s="300"/>
    </row>
  </sheetData>
  <mergeCells count="2">
    <mergeCell ref="G30:I30"/>
    <mergeCell ref="L29:N30"/>
  </mergeCells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topLeftCell="A4" zoomScaleNormal="100" workbookViewId="0">
      <selection activeCell="N23" sqref="N23"/>
    </sheetView>
  </sheetViews>
  <sheetFormatPr defaultRowHeight="17.25" customHeight="1" x14ac:dyDescent="0.2"/>
  <cols>
    <col min="1" max="1" width="4.75" style="264" customWidth="1"/>
    <col min="2" max="2" width="15.25" style="127" customWidth="1"/>
    <col min="3" max="14" width="8.375" style="27" customWidth="1"/>
    <col min="15" max="15" width="10" style="297" customWidth="1"/>
    <col min="16" max="16" width="9.625" style="295" customWidth="1"/>
    <col min="17" max="16384" width="9" style="27"/>
  </cols>
  <sheetData>
    <row r="1" spans="1:17" s="11" customFormat="1" ht="17.25" customHeight="1" x14ac:dyDescent="0.2">
      <c r="A1" s="100"/>
      <c r="B1" s="126"/>
      <c r="C1" s="9"/>
      <c r="D1" s="10" t="s">
        <v>61</v>
      </c>
      <c r="E1" s="9"/>
      <c r="F1" s="9"/>
      <c r="G1" s="9"/>
      <c r="H1" s="9"/>
      <c r="K1" s="10" t="str">
        <f>'2.3วสด.งานบ้าน'!K1</f>
        <v xml:space="preserve"> ปีงบประมาณ   2561</v>
      </c>
      <c r="L1" s="9"/>
      <c r="M1" s="9"/>
      <c r="N1" s="9"/>
      <c r="O1" s="162"/>
      <c r="P1" s="294"/>
      <c r="Q1" s="60"/>
    </row>
    <row r="2" spans="1:17" s="101" customFormat="1" ht="17.25" customHeight="1" x14ac:dyDescent="0.2">
      <c r="A2" s="251"/>
      <c r="B2" s="126"/>
      <c r="C2" s="126" t="str">
        <f>'[1]1.1.ยา(ทั่วไป)'!C2</f>
        <v>จาก ฝ่ายเภสัชกรรมชุมชน  โรงพยาบาลกุมภวาปี</v>
      </c>
      <c r="D2" s="245"/>
      <c r="F2" s="245"/>
      <c r="G2" s="245"/>
      <c r="I2" s="245"/>
      <c r="J2" s="245"/>
      <c r="K2" s="245"/>
      <c r="M2" s="246"/>
      <c r="N2" s="247" t="str">
        <f>'2.รวมวชย ทุกประเภท'!N2</f>
        <v xml:space="preserve">รายงานข้อมูลณ วันที่ 28/9/61 </v>
      </c>
      <c r="O2" s="165"/>
      <c r="P2" s="294"/>
      <c r="Q2" s="252"/>
    </row>
    <row r="3" spans="1:17" ht="6.75" customHeight="1" x14ac:dyDescent="0.2"/>
    <row r="4" spans="1:17" ht="17.25" customHeight="1" x14ac:dyDescent="0.2">
      <c r="A4" s="25" t="s">
        <v>0</v>
      </c>
      <c r="B4" s="26" t="s">
        <v>1</v>
      </c>
      <c r="C4" s="254" t="s">
        <v>27</v>
      </c>
      <c r="D4" s="254" t="s">
        <v>28</v>
      </c>
      <c r="E4" s="254" t="s">
        <v>29</v>
      </c>
      <c r="F4" s="254" t="s">
        <v>30</v>
      </c>
      <c r="G4" s="254" t="s">
        <v>31</v>
      </c>
      <c r="H4" s="254" t="s">
        <v>32</v>
      </c>
      <c r="I4" s="254" t="s">
        <v>33</v>
      </c>
      <c r="J4" s="254" t="s">
        <v>34</v>
      </c>
      <c r="K4" s="254" t="s">
        <v>35</v>
      </c>
      <c r="L4" s="254" t="s">
        <v>36</v>
      </c>
      <c r="M4" s="254" t="s">
        <v>37</v>
      </c>
      <c r="N4" s="254" t="s">
        <v>38</v>
      </c>
      <c r="O4" s="298" t="s">
        <v>39</v>
      </c>
      <c r="P4" s="296" t="s">
        <v>40</v>
      </c>
    </row>
    <row r="5" spans="1:17" ht="17.25" customHeight="1" x14ac:dyDescent="0.2">
      <c r="A5" s="25">
        <v>1</v>
      </c>
      <c r="B5" s="26" t="s">
        <v>18</v>
      </c>
      <c r="C5" s="36">
        <v>0</v>
      </c>
      <c r="D5" s="36">
        <v>1060</v>
      </c>
      <c r="E5" s="36">
        <f>7950+395+231.32</f>
        <v>8576.32</v>
      </c>
      <c r="F5" s="36">
        <f>1000</f>
        <v>1000</v>
      </c>
      <c r="G5" s="36">
        <v>359</v>
      </c>
      <c r="H5" s="36">
        <v>0</v>
      </c>
      <c r="I5" s="36">
        <v>0</v>
      </c>
      <c r="J5" s="36">
        <v>0</v>
      </c>
      <c r="K5" s="36">
        <v>5040</v>
      </c>
      <c r="L5" s="36">
        <v>0</v>
      </c>
      <c r="M5" s="36">
        <v>0</v>
      </c>
      <c r="N5" s="36">
        <v>0</v>
      </c>
      <c r="O5" s="271">
        <f>SUM(C5:N5)</f>
        <v>16035.32</v>
      </c>
      <c r="P5" s="290">
        <f t="shared" ref="P5:P27" si="0">O5/$O$23</f>
        <v>6.8960057076371248E-2</v>
      </c>
    </row>
    <row r="6" spans="1:17" ht="17.25" customHeight="1" x14ac:dyDescent="0.2">
      <c r="A6" s="25">
        <v>2</v>
      </c>
      <c r="B6" s="26" t="s">
        <v>19</v>
      </c>
      <c r="C6" s="36">
        <v>0</v>
      </c>
      <c r="D6" s="36">
        <f>231.32+1280</f>
        <v>1511.32</v>
      </c>
      <c r="E6" s="36">
        <f>2650+395</f>
        <v>3045</v>
      </c>
      <c r="F6" s="36">
        <v>79.180000000000007</v>
      </c>
      <c r="G6" s="36">
        <v>316.72000000000003</v>
      </c>
      <c r="H6" s="36">
        <v>158.36000000000001</v>
      </c>
      <c r="I6" s="36">
        <v>0</v>
      </c>
      <c r="J6" s="36">
        <f>2520+158.36</f>
        <v>2678.36</v>
      </c>
      <c r="K6" s="36">
        <v>2520</v>
      </c>
      <c r="L6" s="36">
        <v>2520</v>
      </c>
      <c r="M6" s="36">
        <v>1260</v>
      </c>
      <c r="N6" s="36">
        <v>79</v>
      </c>
      <c r="O6" s="271">
        <f t="shared" ref="O6:O27" si="1">SUM(C6:N6)</f>
        <v>14167.94</v>
      </c>
      <c r="P6" s="290">
        <f t="shared" si="0"/>
        <v>6.0929370355852164E-2</v>
      </c>
    </row>
    <row r="7" spans="1:17" ht="17.25" customHeight="1" x14ac:dyDescent="0.2">
      <c r="A7" s="25">
        <v>3</v>
      </c>
      <c r="B7" s="26" t="s">
        <v>20</v>
      </c>
      <c r="C7" s="36">
        <v>0</v>
      </c>
      <c r="D7" s="36">
        <v>1817.9</v>
      </c>
      <c r="E7" s="36">
        <v>400</v>
      </c>
      <c r="F7" s="36">
        <v>231.32</v>
      </c>
      <c r="G7" s="36">
        <v>0</v>
      </c>
      <c r="H7" s="36">
        <v>2520</v>
      </c>
      <c r="I7" s="36">
        <v>0</v>
      </c>
      <c r="J7" s="36">
        <v>0</v>
      </c>
      <c r="K7" s="36">
        <v>0</v>
      </c>
      <c r="L7" s="36">
        <v>3780</v>
      </c>
      <c r="M7" s="36">
        <v>0</v>
      </c>
      <c r="N7" s="36">
        <v>0</v>
      </c>
      <c r="O7" s="271">
        <f t="shared" si="1"/>
        <v>8749.2200000000012</v>
      </c>
      <c r="P7" s="290">
        <f t="shared" si="0"/>
        <v>3.7626109773532986E-2</v>
      </c>
    </row>
    <row r="8" spans="1:17" ht="17.25" customHeight="1" x14ac:dyDescent="0.2">
      <c r="A8" s="25">
        <v>4</v>
      </c>
      <c r="B8" s="26" t="s">
        <v>21</v>
      </c>
      <c r="C8" s="36">
        <f>7868+231.32</f>
        <v>8099.32</v>
      </c>
      <c r="D8" s="36">
        <v>7950</v>
      </c>
      <c r="E8" s="36">
        <v>0</v>
      </c>
      <c r="F8" s="36">
        <v>231.32</v>
      </c>
      <c r="G8" s="36">
        <v>0</v>
      </c>
      <c r="H8" s="36">
        <v>0</v>
      </c>
      <c r="I8" s="36">
        <v>0</v>
      </c>
      <c r="J8" s="36">
        <v>0</v>
      </c>
      <c r="K8" s="36">
        <v>791.59</v>
      </c>
      <c r="L8" s="36">
        <v>0</v>
      </c>
      <c r="M8" s="36">
        <v>0</v>
      </c>
      <c r="N8" s="36">
        <v>0</v>
      </c>
      <c r="O8" s="271">
        <f t="shared" si="1"/>
        <v>17072.23</v>
      </c>
      <c r="P8" s="290">
        <f t="shared" si="0"/>
        <v>7.3419299098548552E-2</v>
      </c>
    </row>
    <row r="9" spans="1:17" ht="17.25" customHeight="1" x14ac:dyDescent="0.2">
      <c r="A9" s="25">
        <v>5</v>
      </c>
      <c r="B9" s="26" t="s">
        <v>2</v>
      </c>
      <c r="C9" s="36">
        <v>0</v>
      </c>
      <c r="D9" s="36">
        <v>10600</v>
      </c>
      <c r="E9" s="36">
        <v>0</v>
      </c>
      <c r="F9" s="36">
        <v>0</v>
      </c>
      <c r="G9" s="36">
        <v>0</v>
      </c>
      <c r="H9" s="36">
        <v>1589.18</v>
      </c>
      <c r="I9" s="36">
        <v>0</v>
      </c>
      <c r="J9" s="36">
        <v>2520</v>
      </c>
      <c r="K9" s="36">
        <v>0</v>
      </c>
      <c r="L9" s="36">
        <v>79.16</v>
      </c>
      <c r="M9" s="36">
        <v>2520</v>
      </c>
      <c r="N9" s="36">
        <v>0</v>
      </c>
      <c r="O9" s="271">
        <f t="shared" si="1"/>
        <v>17308.34</v>
      </c>
      <c r="P9" s="290">
        <f t="shared" si="0"/>
        <v>7.4434692559751825E-2</v>
      </c>
    </row>
    <row r="10" spans="1:17" ht="17.25" customHeight="1" x14ac:dyDescent="0.2">
      <c r="A10" s="25">
        <v>6</v>
      </c>
      <c r="B10" s="26" t="s">
        <v>3</v>
      </c>
      <c r="C10" s="36">
        <v>0</v>
      </c>
      <c r="D10" s="36">
        <v>197.5</v>
      </c>
      <c r="E10" s="36">
        <v>0</v>
      </c>
      <c r="F10" s="36">
        <v>1325</v>
      </c>
      <c r="G10" s="36">
        <v>0</v>
      </c>
      <c r="H10" s="36">
        <v>0</v>
      </c>
      <c r="I10" s="36">
        <f>3024+79.18</f>
        <v>3103.18</v>
      </c>
      <c r="J10" s="36">
        <v>5316.68</v>
      </c>
      <c r="K10" s="36">
        <v>0</v>
      </c>
      <c r="L10" s="36">
        <v>0</v>
      </c>
      <c r="M10" s="36">
        <v>0</v>
      </c>
      <c r="N10" s="36">
        <f>1008+395.9</f>
        <v>1403.9</v>
      </c>
      <c r="O10" s="271">
        <f t="shared" si="1"/>
        <v>11346.26</v>
      </c>
      <c r="P10" s="290">
        <f t="shared" si="0"/>
        <v>4.8794706760036471E-2</v>
      </c>
    </row>
    <row r="11" spans="1:17" ht="17.25" customHeight="1" x14ac:dyDescent="0.2">
      <c r="A11" s="25">
        <v>7</v>
      </c>
      <c r="B11" s="26" t="s">
        <v>4</v>
      </c>
      <c r="C11" s="36">
        <v>0</v>
      </c>
      <c r="D11" s="36">
        <v>0</v>
      </c>
      <c r="E11" s="36">
        <v>0</v>
      </c>
      <c r="F11" s="36">
        <v>0</v>
      </c>
      <c r="G11" s="36">
        <v>158.36000000000001</v>
      </c>
      <c r="H11" s="36">
        <v>0</v>
      </c>
      <c r="I11" s="36">
        <v>2520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71">
        <f t="shared" si="1"/>
        <v>2678.36</v>
      </c>
      <c r="P11" s="290">
        <f t="shared" si="0"/>
        <v>1.1518314475237769E-2</v>
      </c>
    </row>
    <row r="12" spans="1:17" ht="17.25" customHeight="1" x14ac:dyDescent="0.2">
      <c r="A12" s="25">
        <v>8</v>
      </c>
      <c r="B12" s="26" t="s">
        <v>5</v>
      </c>
      <c r="C12" s="36">
        <v>10600</v>
      </c>
      <c r="D12" s="36">
        <v>0</v>
      </c>
      <c r="E12" s="36">
        <v>0</v>
      </c>
      <c r="F12" s="36">
        <v>0</v>
      </c>
      <c r="G12" s="36">
        <v>578.29</v>
      </c>
      <c r="H12" s="36">
        <v>0</v>
      </c>
      <c r="I12" s="36">
        <v>0</v>
      </c>
      <c r="J12" s="36">
        <v>0</v>
      </c>
      <c r="K12" s="36">
        <f>5040+5404+395</f>
        <v>10839</v>
      </c>
      <c r="L12" s="36">
        <v>79.16</v>
      </c>
      <c r="M12" s="36">
        <v>0</v>
      </c>
      <c r="N12" s="36">
        <v>12600</v>
      </c>
      <c r="O12" s="271">
        <f t="shared" si="1"/>
        <v>34696.449999999997</v>
      </c>
      <c r="P12" s="290">
        <f t="shared" si="0"/>
        <v>0.14921243681744181</v>
      </c>
    </row>
    <row r="13" spans="1:17" ht="17.25" customHeight="1" x14ac:dyDescent="0.2">
      <c r="A13" s="25">
        <v>9</v>
      </c>
      <c r="B13" s="26" t="s">
        <v>6</v>
      </c>
      <c r="C13" s="36">
        <v>0</v>
      </c>
      <c r="D13" s="36">
        <v>10600</v>
      </c>
      <c r="E13" s="36">
        <v>0</v>
      </c>
      <c r="F13" s="36">
        <v>158.36000000000001</v>
      </c>
      <c r="G13" s="36">
        <f>1325+395+115.66</f>
        <v>1835.66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395</v>
      </c>
      <c r="N13" s="36">
        <v>5040</v>
      </c>
      <c r="O13" s="271">
        <f t="shared" si="1"/>
        <v>18029.02</v>
      </c>
      <c r="P13" s="290">
        <f t="shared" si="0"/>
        <v>7.753398424422081E-2</v>
      </c>
    </row>
    <row r="14" spans="1:17" ht="17.25" customHeight="1" x14ac:dyDescent="0.2">
      <c r="A14" s="25">
        <v>10</v>
      </c>
      <c r="B14" s="26" t="s">
        <v>7</v>
      </c>
      <c r="C14" s="36">
        <v>0</v>
      </c>
      <c r="D14" s="36">
        <v>1325</v>
      </c>
      <c r="E14" s="36">
        <v>0</v>
      </c>
      <c r="F14" s="36">
        <v>0</v>
      </c>
      <c r="G14" s="36">
        <v>400</v>
      </c>
      <c r="H14" s="36">
        <v>0</v>
      </c>
      <c r="I14" s="36">
        <v>0</v>
      </c>
      <c r="J14" s="36">
        <v>1260</v>
      </c>
      <c r="K14" s="36">
        <v>0</v>
      </c>
      <c r="L14" s="36">
        <v>1260</v>
      </c>
      <c r="M14" s="36">
        <v>0</v>
      </c>
      <c r="N14" s="36">
        <v>504</v>
      </c>
      <c r="O14" s="271">
        <f t="shared" si="1"/>
        <v>4749</v>
      </c>
      <c r="P14" s="290">
        <f t="shared" si="0"/>
        <v>2.0423122897184905E-2</v>
      </c>
    </row>
    <row r="15" spans="1:17" ht="17.25" customHeight="1" x14ac:dyDescent="0.2">
      <c r="A15" s="25">
        <v>11</v>
      </c>
      <c r="B15" s="26" t="s">
        <v>8</v>
      </c>
      <c r="C15" s="36">
        <v>0</v>
      </c>
      <c r="D15" s="36">
        <v>4206.32</v>
      </c>
      <c r="E15" s="36">
        <v>395</v>
      </c>
      <c r="F15" s="36">
        <v>231.32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504</v>
      </c>
      <c r="O15" s="271">
        <f t="shared" si="1"/>
        <v>5336.6399999999994</v>
      </c>
      <c r="P15" s="290">
        <f t="shared" si="0"/>
        <v>2.2950274705839723E-2</v>
      </c>
    </row>
    <row r="16" spans="1:17" ht="17.25" customHeight="1" x14ac:dyDescent="0.2">
      <c r="A16" s="25">
        <v>12</v>
      </c>
      <c r="B16" s="26" t="s">
        <v>9</v>
      </c>
      <c r="C16" s="36">
        <v>7680</v>
      </c>
      <c r="D16" s="36">
        <v>0</v>
      </c>
      <c r="E16" s="36">
        <v>0</v>
      </c>
      <c r="F16" s="36">
        <v>0</v>
      </c>
      <c r="G16" s="36">
        <f>114.5+79.97</f>
        <v>194.47</v>
      </c>
      <c r="H16" s="36">
        <v>0</v>
      </c>
      <c r="I16" s="36">
        <v>0</v>
      </c>
      <c r="J16" s="36">
        <v>0</v>
      </c>
      <c r="K16" s="36">
        <v>1260</v>
      </c>
      <c r="L16" s="36">
        <v>2520</v>
      </c>
      <c r="M16" s="36">
        <v>79.16</v>
      </c>
      <c r="N16" s="36">
        <v>3780</v>
      </c>
      <c r="O16" s="271">
        <f t="shared" si="1"/>
        <v>15513.630000000001</v>
      </c>
      <c r="P16" s="290">
        <f t="shared" si="0"/>
        <v>6.6716523914814627E-2</v>
      </c>
    </row>
    <row r="17" spans="1:16" ht="17.25" customHeight="1" x14ac:dyDescent="0.2">
      <c r="A17" s="25">
        <v>13</v>
      </c>
      <c r="B17" s="26" t="s">
        <v>10</v>
      </c>
      <c r="C17" s="36">
        <v>0</v>
      </c>
      <c r="D17" s="36">
        <v>5300</v>
      </c>
      <c r="E17" s="36">
        <v>0</v>
      </c>
      <c r="F17" s="36">
        <f>79+231.32</f>
        <v>310.32</v>
      </c>
      <c r="G17" s="36">
        <v>231.32</v>
      </c>
      <c r="H17" s="36">
        <v>0</v>
      </c>
      <c r="I17" s="36">
        <v>3780</v>
      </c>
      <c r="J17" s="36">
        <v>0</v>
      </c>
      <c r="K17" s="36">
        <v>79</v>
      </c>
      <c r="L17" s="36">
        <v>0</v>
      </c>
      <c r="M17" s="36">
        <f>750+5040+118.5+79.18</f>
        <v>5987.68</v>
      </c>
      <c r="N17" s="36">
        <v>10080</v>
      </c>
      <c r="O17" s="271">
        <f t="shared" si="1"/>
        <v>25768.32</v>
      </c>
      <c r="P17" s="290">
        <f t="shared" si="0"/>
        <v>0.11081692276563229</v>
      </c>
    </row>
    <row r="18" spans="1:16" ht="17.25" customHeight="1" x14ac:dyDescent="0.2">
      <c r="A18" s="25">
        <v>14</v>
      </c>
      <c r="B18" s="26" t="s">
        <v>11</v>
      </c>
      <c r="C18" s="36">
        <v>0</v>
      </c>
      <c r="D18" s="36">
        <v>1280</v>
      </c>
      <c r="E18" s="36">
        <v>0</v>
      </c>
      <c r="F18" s="36">
        <v>90</v>
      </c>
      <c r="G18" s="36">
        <v>0</v>
      </c>
      <c r="H18" s="36">
        <v>1260</v>
      </c>
      <c r="I18" s="36">
        <v>0</v>
      </c>
      <c r="J18" s="36">
        <v>79.16</v>
      </c>
      <c r="K18" s="36">
        <v>0</v>
      </c>
      <c r="L18" s="36">
        <v>5040</v>
      </c>
      <c r="M18" s="36">
        <v>756</v>
      </c>
      <c r="N18" s="36">
        <v>0</v>
      </c>
      <c r="O18" s="271">
        <f t="shared" si="1"/>
        <v>8505.16</v>
      </c>
      <c r="P18" s="290">
        <f t="shared" si="0"/>
        <v>3.6576527256311046E-2</v>
      </c>
    </row>
    <row r="19" spans="1:16" ht="17.25" customHeight="1" x14ac:dyDescent="0.2">
      <c r="A19" s="25">
        <v>15</v>
      </c>
      <c r="B19" s="26" t="s">
        <v>12</v>
      </c>
      <c r="C19" s="36">
        <v>0</v>
      </c>
      <c r="D19" s="36">
        <f>115.66+7950</f>
        <v>8065.66</v>
      </c>
      <c r="E19" s="36">
        <f>2650+395</f>
        <v>3045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5040</v>
      </c>
      <c r="L19" s="36">
        <v>0</v>
      </c>
      <c r="M19" s="36">
        <v>0</v>
      </c>
      <c r="N19" s="36">
        <v>0</v>
      </c>
      <c r="O19" s="271">
        <f t="shared" si="1"/>
        <v>16150.66</v>
      </c>
      <c r="P19" s="290">
        <f t="shared" si="0"/>
        <v>6.9456077921804249E-2</v>
      </c>
    </row>
    <row r="20" spans="1:16" ht="17.25" customHeight="1" x14ac:dyDescent="0.2">
      <c r="A20" s="25">
        <v>16</v>
      </c>
      <c r="B20" s="128" t="s">
        <v>13</v>
      </c>
      <c r="C20" s="36">
        <v>0</v>
      </c>
      <c r="D20" s="36">
        <v>0</v>
      </c>
      <c r="E20" s="36">
        <v>0</v>
      </c>
      <c r="F20" s="36">
        <v>0</v>
      </c>
      <c r="G20" s="36">
        <v>1325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1260</v>
      </c>
      <c r="N20" s="36">
        <v>0</v>
      </c>
      <c r="O20" s="271">
        <f t="shared" si="1"/>
        <v>2585</v>
      </c>
      <c r="P20" s="290">
        <f t="shared" si="0"/>
        <v>1.1116818843803535E-2</v>
      </c>
    </row>
    <row r="21" spans="1:16" ht="17.25" customHeight="1" x14ac:dyDescent="0.2">
      <c r="A21" s="25">
        <v>17</v>
      </c>
      <c r="B21" s="26" t="s">
        <v>14</v>
      </c>
      <c r="C21" s="36">
        <f>800+23850</f>
        <v>24650</v>
      </c>
      <c r="D21" s="36">
        <v>0</v>
      </c>
      <c r="E21" s="36">
        <v>790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271">
        <f t="shared" si="1"/>
        <v>25440</v>
      </c>
      <c r="P21" s="290">
        <f t="shared" si="0"/>
        <v>0.10940497925971447</v>
      </c>
    </row>
    <row r="22" spans="1:16" ht="17.25" customHeight="1" x14ac:dyDescent="0.2">
      <c r="A22" s="25">
        <v>18</v>
      </c>
      <c r="B22" s="26" t="s">
        <v>15</v>
      </c>
      <c r="C22" s="36">
        <f>1536+115.66</f>
        <v>1651.66</v>
      </c>
      <c r="D22" s="36">
        <v>0</v>
      </c>
      <c r="E22" s="36">
        <v>0</v>
      </c>
      <c r="F22" s="36">
        <v>395</v>
      </c>
      <c r="G22" s="36">
        <v>0</v>
      </c>
      <c r="H22" s="36">
        <v>0</v>
      </c>
      <c r="I22" s="36">
        <v>0</v>
      </c>
      <c r="J22" s="36">
        <v>0</v>
      </c>
      <c r="K22" s="36">
        <v>756</v>
      </c>
      <c r="L22" s="36">
        <v>0</v>
      </c>
      <c r="M22" s="36">
        <f>756+79.16+39.5</f>
        <v>874.66</v>
      </c>
      <c r="N22" s="36">
        <v>0</v>
      </c>
      <c r="O22" s="271">
        <f t="shared" si="1"/>
        <v>3677.3199999999997</v>
      </c>
      <c r="P22" s="290">
        <f t="shared" si="0"/>
        <v>1.5814352135665611E-2</v>
      </c>
    </row>
    <row r="23" spans="1:16" s="48" customFormat="1" ht="17.25" customHeight="1" x14ac:dyDescent="0.2">
      <c r="A23" s="45">
        <v>5.4166666666666669E-2</v>
      </c>
      <c r="B23" s="154" t="s">
        <v>22</v>
      </c>
      <c r="C23" s="42">
        <f t="shared" ref="C23:N23" si="2">SUM(C5:C22)</f>
        <v>52680.98</v>
      </c>
      <c r="D23" s="42">
        <f t="shared" si="2"/>
        <v>53913.7</v>
      </c>
      <c r="E23" s="42">
        <f t="shared" si="2"/>
        <v>16251.32</v>
      </c>
      <c r="F23" s="42">
        <f t="shared" si="2"/>
        <v>4051.82</v>
      </c>
      <c r="G23" s="42">
        <f t="shared" si="2"/>
        <v>5398.82</v>
      </c>
      <c r="H23" s="42">
        <f t="shared" si="2"/>
        <v>5527.54</v>
      </c>
      <c r="I23" s="42">
        <f t="shared" si="2"/>
        <v>9403.18</v>
      </c>
      <c r="J23" s="42">
        <f t="shared" si="2"/>
        <v>11854.2</v>
      </c>
      <c r="K23" s="42">
        <f t="shared" si="2"/>
        <v>26325.59</v>
      </c>
      <c r="L23" s="42">
        <v>0</v>
      </c>
      <c r="M23" s="42">
        <f t="shared" si="2"/>
        <v>13132.5</v>
      </c>
      <c r="N23" s="42">
        <f t="shared" si="2"/>
        <v>33990.9</v>
      </c>
      <c r="O23" s="54">
        <f t="shared" si="1"/>
        <v>232530.55000000002</v>
      </c>
      <c r="P23" s="291">
        <f t="shared" si="0"/>
        <v>1</v>
      </c>
    </row>
    <row r="24" spans="1:16" ht="17.25" customHeight="1" x14ac:dyDescent="0.2">
      <c r="A24" s="30">
        <v>19</v>
      </c>
      <c r="B24" s="31" t="s">
        <v>16</v>
      </c>
      <c r="C24" s="36"/>
      <c r="D24" s="36"/>
      <c r="E24" s="36"/>
      <c r="F24" s="36"/>
      <c r="G24" s="36"/>
      <c r="H24" s="36"/>
      <c r="I24" s="36"/>
      <c r="J24" s="36"/>
      <c r="K24" s="36">
        <v>1055</v>
      </c>
      <c r="L24" s="36">
        <v>0</v>
      </c>
      <c r="M24" s="36">
        <v>0</v>
      </c>
      <c r="N24" s="36"/>
      <c r="O24" s="271">
        <f t="shared" si="1"/>
        <v>1055</v>
      </c>
      <c r="P24" s="290">
        <f t="shared" si="0"/>
        <v>4.53703825153297E-3</v>
      </c>
    </row>
    <row r="25" spans="1:16" ht="17.25" customHeight="1" x14ac:dyDescent="0.2">
      <c r="A25" s="30">
        <v>20</v>
      </c>
      <c r="B25" s="26" t="s">
        <v>17</v>
      </c>
      <c r="C25" s="36"/>
      <c r="D25" s="36"/>
      <c r="E25" s="36"/>
      <c r="F25" s="36"/>
      <c r="G25" s="36"/>
      <c r="H25" s="36"/>
      <c r="I25" s="36"/>
      <c r="J25" s="36"/>
      <c r="K25" s="36">
        <v>0</v>
      </c>
      <c r="L25" s="36">
        <v>0</v>
      </c>
      <c r="M25" s="36">
        <v>0</v>
      </c>
      <c r="N25" s="36"/>
      <c r="O25" s="271">
        <f t="shared" si="1"/>
        <v>0</v>
      </c>
      <c r="P25" s="290">
        <f t="shared" si="0"/>
        <v>0</v>
      </c>
    </row>
    <row r="26" spans="1:16" s="48" customFormat="1" ht="17.25" customHeight="1" x14ac:dyDescent="0.2">
      <c r="A26" s="49" t="s">
        <v>24</v>
      </c>
      <c r="B26" s="152" t="s">
        <v>23</v>
      </c>
      <c r="C26" s="41">
        <f>C24+C25</f>
        <v>0</v>
      </c>
      <c r="D26" s="41">
        <f t="shared" ref="D26:N26" si="3">D24+D25</f>
        <v>0</v>
      </c>
      <c r="E26" s="41">
        <f t="shared" si="3"/>
        <v>0</v>
      </c>
      <c r="F26" s="41">
        <f t="shared" si="3"/>
        <v>0</v>
      </c>
      <c r="G26" s="41">
        <f t="shared" si="3"/>
        <v>0</v>
      </c>
      <c r="H26" s="41">
        <f t="shared" si="3"/>
        <v>0</v>
      </c>
      <c r="I26" s="41">
        <f t="shared" si="3"/>
        <v>0</v>
      </c>
      <c r="J26" s="41">
        <f t="shared" si="3"/>
        <v>0</v>
      </c>
      <c r="K26" s="41">
        <f t="shared" si="3"/>
        <v>1055</v>
      </c>
      <c r="L26" s="41">
        <f t="shared" si="3"/>
        <v>0</v>
      </c>
      <c r="M26" s="41">
        <f t="shared" si="3"/>
        <v>0</v>
      </c>
      <c r="N26" s="41">
        <f t="shared" si="3"/>
        <v>0</v>
      </c>
      <c r="O26" s="276">
        <f t="shared" si="1"/>
        <v>1055</v>
      </c>
      <c r="P26" s="292">
        <f t="shared" si="0"/>
        <v>4.53703825153297E-3</v>
      </c>
    </row>
    <row r="27" spans="1:16" s="55" customFormat="1" ht="17.25" customHeight="1" x14ac:dyDescent="0.2">
      <c r="A27" s="203" t="s">
        <v>26</v>
      </c>
      <c r="B27" s="208" t="s">
        <v>25</v>
      </c>
      <c r="C27" s="282">
        <f>C23+C26</f>
        <v>52680.98</v>
      </c>
      <c r="D27" s="282">
        <f t="shared" ref="D27:N27" si="4">D23+D26</f>
        <v>53913.7</v>
      </c>
      <c r="E27" s="282">
        <f t="shared" si="4"/>
        <v>16251.32</v>
      </c>
      <c r="F27" s="282">
        <f t="shared" si="4"/>
        <v>4051.82</v>
      </c>
      <c r="G27" s="282">
        <f t="shared" si="4"/>
        <v>5398.82</v>
      </c>
      <c r="H27" s="282">
        <f t="shared" si="4"/>
        <v>5527.54</v>
      </c>
      <c r="I27" s="282">
        <f t="shared" si="4"/>
        <v>9403.18</v>
      </c>
      <c r="J27" s="282">
        <f t="shared" si="4"/>
        <v>11854.2</v>
      </c>
      <c r="K27" s="282">
        <f t="shared" si="4"/>
        <v>27380.59</v>
      </c>
      <c r="L27" s="282">
        <f t="shared" si="4"/>
        <v>0</v>
      </c>
      <c r="M27" s="282">
        <f t="shared" si="4"/>
        <v>13132.5</v>
      </c>
      <c r="N27" s="282">
        <f t="shared" si="4"/>
        <v>33990.9</v>
      </c>
      <c r="O27" s="283">
        <f t="shared" si="1"/>
        <v>233585.55000000002</v>
      </c>
      <c r="P27" s="293">
        <f t="shared" si="0"/>
        <v>1.0045370382515331</v>
      </c>
    </row>
    <row r="28" spans="1:16" s="114" customFormat="1" ht="18" customHeight="1" x14ac:dyDescent="0.45">
      <c r="A28" s="62"/>
      <c r="B28" s="194"/>
      <c r="O28" s="167"/>
      <c r="P28" s="300"/>
    </row>
    <row r="29" spans="1:16" s="114" customFormat="1" ht="18" customHeight="1" x14ac:dyDescent="0.45">
      <c r="A29" s="62"/>
      <c r="B29" s="194"/>
      <c r="L29" s="364" t="s">
        <v>50</v>
      </c>
      <c r="M29" s="364"/>
      <c r="N29" s="364"/>
      <c r="O29" s="167"/>
      <c r="P29" s="300"/>
    </row>
    <row r="30" spans="1:16" s="114" customFormat="1" ht="18" customHeight="1" x14ac:dyDescent="0.45">
      <c r="A30" s="62"/>
      <c r="B30" s="194"/>
      <c r="G30" s="364" t="s">
        <v>81</v>
      </c>
      <c r="H30" s="364"/>
      <c r="I30" s="364"/>
      <c r="J30" s="15"/>
      <c r="K30" s="15"/>
      <c r="L30" s="364"/>
      <c r="M30" s="364"/>
      <c r="N30" s="364"/>
      <c r="O30" s="167"/>
      <c r="P30" s="300"/>
    </row>
    <row r="31" spans="1:16" s="114" customFormat="1" ht="18" customHeight="1" x14ac:dyDescent="0.45">
      <c r="A31" s="62"/>
      <c r="B31" s="194"/>
      <c r="G31" s="15"/>
      <c r="H31" s="15" t="s">
        <v>51</v>
      </c>
      <c r="I31" s="15"/>
      <c r="J31" s="15"/>
      <c r="K31" s="15"/>
      <c r="L31" s="17"/>
      <c r="M31" s="15" t="s">
        <v>52</v>
      </c>
      <c r="N31" s="18"/>
      <c r="O31" s="167"/>
      <c r="P31" s="300"/>
    </row>
    <row r="32" spans="1:16" s="114" customFormat="1" ht="18" customHeight="1" x14ac:dyDescent="0.45">
      <c r="A32" s="62"/>
      <c r="B32" s="194"/>
      <c r="G32" s="15"/>
      <c r="H32" s="17" t="s">
        <v>53</v>
      </c>
      <c r="I32" s="17"/>
      <c r="J32" s="17"/>
      <c r="K32" s="15"/>
      <c r="L32" s="17"/>
      <c r="M32" s="15" t="s">
        <v>54</v>
      </c>
      <c r="N32" s="18"/>
      <c r="O32" s="167"/>
      <c r="P32" s="300"/>
    </row>
    <row r="33" spans="1:16" s="114" customFormat="1" ht="18" customHeight="1" x14ac:dyDescent="0.45">
      <c r="A33" s="62"/>
      <c r="B33" s="194"/>
      <c r="G33" s="17"/>
      <c r="H33" s="17"/>
      <c r="I33" s="17"/>
      <c r="J33" s="17"/>
      <c r="K33" s="15"/>
      <c r="L33" s="17"/>
      <c r="M33" s="17"/>
      <c r="N33" s="19"/>
      <c r="O33" s="167"/>
      <c r="P33" s="300"/>
    </row>
    <row r="34" spans="1:16" s="114" customFormat="1" ht="18" customHeight="1" x14ac:dyDescent="0.45">
      <c r="A34" s="62"/>
      <c r="B34" s="194"/>
      <c r="O34" s="167"/>
      <c r="P34" s="300"/>
    </row>
    <row r="35" spans="1:16" s="114" customFormat="1" ht="18" customHeight="1" x14ac:dyDescent="0.45">
      <c r="A35" s="62"/>
      <c r="B35" s="194"/>
      <c r="O35" s="167"/>
      <c r="P35" s="300"/>
    </row>
  </sheetData>
  <mergeCells count="2">
    <mergeCell ref="G30:I30"/>
    <mergeCell ref="L29:N30"/>
  </mergeCells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topLeftCell="A2" zoomScaleNormal="100" workbookViewId="0">
      <selection activeCell="N23" sqref="N23"/>
    </sheetView>
  </sheetViews>
  <sheetFormatPr defaultRowHeight="17.25" customHeight="1" x14ac:dyDescent="0.2"/>
  <cols>
    <col min="1" max="1" width="4.75" style="264" customWidth="1"/>
    <col min="2" max="2" width="15.25" style="127" customWidth="1"/>
    <col min="3" max="14" width="8.375" style="27" customWidth="1"/>
    <col min="15" max="15" width="10" style="297" customWidth="1"/>
    <col min="16" max="16" width="9.625" style="295" customWidth="1"/>
    <col min="17" max="16384" width="9" style="27"/>
  </cols>
  <sheetData>
    <row r="1" spans="1:17" s="11" customFormat="1" ht="17.25" customHeight="1" x14ac:dyDescent="0.2">
      <c r="A1" s="100"/>
      <c r="B1" s="126"/>
      <c r="C1" s="9"/>
      <c r="D1" s="10" t="s">
        <v>62</v>
      </c>
      <c r="E1" s="9"/>
      <c r="F1" s="9"/>
      <c r="G1" s="9"/>
      <c r="H1" s="9"/>
      <c r="K1" s="10" t="str">
        <f>'2.4วสด. LAB'!K1</f>
        <v xml:space="preserve"> ปีงบประมาณ   2561</v>
      </c>
      <c r="L1" s="9"/>
      <c r="M1" s="9"/>
      <c r="N1" s="9"/>
      <c r="O1" s="162"/>
      <c r="P1" s="294"/>
      <c r="Q1" s="60"/>
    </row>
    <row r="2" spans="1:17" s="11" customFormat="1" ht="17.25" customHeight="1" x14ac:dyDescent="0.2">
      <c r="A2" s="100"/>
      <c r="B2" s="126"/>
      <c r="C2" s="10" t="str">
        <f>'[1]1.1.ยา(ทั่วไป)'!C2</f>
        <v>จาก ฝ่ายเภสัชกรรมชุมชน  โรงพยาบาลกุมภวาปี</v>
      </c>
      <c r="D2" s="9"/>
      <c r="F2" s="9"/>
      <c r="G2" s="9"/>
      <c r="I2" s="9"/>
      <c r="J2" s="9"/>
      <c r="K2" s="9"/>
      <c r="M2" s="12"/>
      <c r="N2" s="13" t="str">
        <f>'2.รวมวชย ทุกประเภท'!N2</f>
        <v xml:space="preserve">รายงานข้อมูลณ วันที่ 28/9/61 </v>
      </c>
      <c r="O2" s="165"/>
      <c r="P2" s="294"/>
      <c r="Q2" s="60"/>
    </row>
    <row r="3" spans="1:17" ht="6.75" customHeight="1" x14ac:dyDescent="0.2"/>
    <row r="4" spans="1:17" ht="17.25" customHeight="1" x14ac:dyDescent="0.2">
      <c r="A4" s="25" t="s">
        <v>0</v>
      </c>
      <c r="B4" s="26" t="s">
        <v>1</v>
      </c>
      <c r="C4" s="254" t="s">
        <v>27</v>
      </c>
      <c r="D4" s="254" t="s">
        <v>28</v>
      </c>
      <c r="E4" s="254" t="s">
        <v>29</v>
      </c>
      <c r="F4" s="254" t="s">
        <v>30</v>
      </c>
      <c r="G4" s="254" t="s">
        <v>31</v>
      </c>
      <c r="H4" s="254" t="s">
        <v>32</v>
      </c>
      <c r="I4" s="254" t="s">
        <v>33</v>
      </c>
      <c r="J4" s="254" t="s">
        <v>34</v>
      </c>
      <c r="K4" s="254" t="s">
        <v>35</v>
      </c>
      <c r="L4" s="254" t="s">
        <v>36</v>
      </c>
      <c r="M4" s="254" t="s">
        <v>37</v>
      </c>
      <c r="N4" s="254" t="s">
        <v>38</v>
      </c>
      <c r="O4" s="298" t="s">
        <v>39</v>
      </c>
      <c r="P4" s="296" t="s">
        <v>40</v>
      </c>
    </row>
    <row r="5" spans="1:17" ht="17.25" customHeight="1" x14ac:dyDescent="0.2">
      <c r="A5" s="25">
        <v>1</v>
      </c>
      <c r="B5" s="26" t="s">
        <v>18</v>
      </c>
      <c r="C5" s="36">
        <v>0</v>
      </c>
      <c r="D5" s="36">
        <v>0</v>
      </c>
      <c r="E5" s="36">
        <v>0</v>
      </c>
      <c r="F5" s="36">
        <v>0</v>
      </c>
      <c r="G5" s="36">
        <v>0</v>
      </c>
      <c r="H5" s="36">
        <v>0</v>
      </c>
      <c r="I5" s="36">
        <v>0</v>
      </c>
      <c r="J5" s="36">
        <v>0</v>
      </c>
      <c r="K5" s="36">
        <v>0</v>
      </c>
      <c r="L5" s="36">
        <v>25089.29</v>
      </c>
      <c r="M5" s="36">
        <v>0</v>
      </c>
      <c r="N5" s="36">
        <v>0</v>
      </c>
      <c r="O5" s="271">
        <f>SUM(C5:N5)</f>
        <v>25089.29</v>
      </c>
      <c r="P5" s="290">
        <f t="shared" ref="P5:P27" si="0">O5/$O$23</f>
        <v>9.4552210257203978E-2</v>
      </c>
    </row>
    <row r="6" spans="1:17" ht="17.25" customHeight="1" x14ac:dyDescent="0.2">
      <c r="A6" s="25">
        <v>2</v>
      </c>
      <c r="B6" s="26" t="s">
        <v>19</v>
      </c>
      <c r="C6" s="36">
        <v>0</v>
      </c>
      <c r="D6" s="36">
        <v>0</v>
      </c>
      <c r="E6" s="36">
        <v>0</v>
      </c>
      <c r="F6" s="36">
        <v>0</v>
      </c>
      <c r="G6" s="36">
        <v>0</v>
      </c>
      <c r="H6" s="36">
        <v>0</v>
      </c>
      <c r="I6" s="36">
        <v>0</v>
      </c>
      <c r="J6" s="36">
        <v>0</v>
      </c>
      <c r="K6" s="36">
        <v>0</v>
      </c>
      <c r="L6" s="36">
        <v>43669.83</v>
      </c>
      <c r="M6" s="36">
        <v>0</v>
      </c>
      <c r="N6" s="36">
        <v>0</v>
      </c>
      <c r="O6" s="271">
        <f t="shared" ref="O6:O27" si="1">SUM(C6:N6)</f>
        <v>43669.83</v>
      </c>
      <c r="P6" s="290">
        <f t="shared" si="0"/>
        <v>0.16457536056446212</v>
      </c>
    </row>
    <row r="7" spans="1:17" ht="17.25" customHeight="1" x14ac:dyDescent="0.2">
      <c r="A7" s="25">
        <v>3</v>
      </c>
      <c r="B7" s="26" t="s">
        <v>20</v>
      </c>
      <c r="C7" s="36">
        <v>0</v>
      </c>
      <c r="D7" s="36">
        <v>214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642</v>
      </c>
      <c r="L7" s="36">
        <v>29173.73</v>
      </c>
      <c r="M7" s="36">
        <v>0</v>
      </c>
      <c r="N7" s="36">
        <v>0</v>
      </c>
      <c r="O7" s="271">
        <f t="shared" si="1"/>
        <v>30029.73</v>
      </c>
      <c r="P7" s="290">
        <f t="shared" si="0"/>
        <v>0.11317089263694054</v>
      </c>
    </row>
    <row r="8" spans="1:17" ht="17.25" customHeight="1" x14ac:dyDescent="0.2">
      <c r="A8" s="25">
        <v>4</v>
      </c>
      <c r="B8" s="26" t="s">
        <v>21</v>
      </c>
      <c r="C8" s="36">
        <v>0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f>642+1605+321</f>
        <v>2568</v>
      </c>
      <c r="K8" s="36">
        <v>0</v>
      </c>
      <c r="L8" s="36">
        <v>0</v>
      </c>
      <c r="M8" s="36">
        <v>0</v>
      </c>
      <c r="N8" s="36">
        <v>0</v>
      </c>
      <c r="O8" s="271">
        <f t="shared" si="1"/>
        <v>2568</v>
      </c>
      <c r="P8" s="290">
        <f t="shared" si="0"/>
        <v>9.677837672588575E-3</v>
      </c>
    </row>
    <row r="9" spans="1:17" ht="17.25" customHeight="1" x14ac:dyDescent="0.2">
      <c r="A9" s="25">
        <v>5</v>
      </c>
      <c r="B9" s="26" t="s">
        <v>2</v>
      </c>
      <c r="C9" s="36">
        <v>321</v>
      </c>
      <c r="D9" s="36">
        <v>428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963</v>
      </c>
      <c r="K9" s="36">
        <v>0</v>
      </c>
      <c r="L9" s="36">
        <v>25583.08</v>
      </c>
      <c r="M9" s="36">
        <v>0</v>
      </c>
      <c r="N9" s="36">
        <v>0</v>
      </c>
      <c r="O9" s="271">
        <f t="shared" si="1"/>
        <v>27295.08</v>
      </c>
      <c r="P9" s="290">
        <f t="shared" si="0"/>
        <v>0.10286501304529555</v>
      </c>
    </row>
    <row r="10" spans="1:17" ht="17.25" customHeight="1" x14ac:dyDescent="0.2">
      <c r="A10" s="25">
        <v>6</v>
      </c>
      <c r="B10" s="26" t="s">
        <v>3</v>
      </c>
      <c r="C10" s="36">
        <v>0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25309.91</v>
      </c>
      <c r="M10" s="36">
        <v>0</v>
      </c>
      <c r="N10" s="36">
        <v>0</v>
      </c>
      <c r="O10" s="271">
        <f t="shared" si="1"/>
        <v>25309.91</v>
      </c>
      <c r="P10" s="290">
        <f t="shared" si="0"/>
        <v>9.5383645049776603E-2</v>
      </c>
    </row>
    <row r="11" spans="1:17" ht="17.25" customHeight="1" x14ac:dyDescent="0.2">
      <c r="A11" s="25">
        <v>7</v>
      </c>
      <c r="B11" s="26" t="s">
        <v>4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71">
        <f t="shared" si="1"/>
        <v>0</v>
      </c>
      <c r="P11" s="290">
        <f t="shared" si="0"/>
        <v>0</v>
      </c>
    </row>
    <row r="12" spans="1:17" ht="17.25" customHeight="1" x14ac:dyDescent="0.2">
      <c r="A12" s="25">
        <v>9</v>
      </c>
      <c r="B12" s="26" t="s">
        <v>5</v>
      </c>
      <c r="C12" s="36">
        <v>0</v>
      </c>
      <c r="D12" s="36">
        <v>428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98851.69</v>
      </c>
      <c r="M12" s="36">
        <v>0</v>
      </c>
      <c r="N12" s="36">
        <v>0</v>
      </c>
      <c r="O12" s="271">
        <f t="shared" si="1"/>
        <v>99279.69</v>
      </c>
      <c r="P12" s="290">
        <f t="shared" si="0"/>
        <v>0.37414825701125987</v>
      </c>
    </row>
    <row r="13" spans="1:17" ht="17.25" customHeight="1" x14ac:dyDescent="0.2">
      <c r="A13" s="25">
        <v>10</v>
      </c>
      <c r="B13" s="26" t="s">
        <v>6</v>
      </c>
      <c r="C13" s="36">
        <v>0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271">
        <f t="shared" si="1"/>
        <v>0</v>
      </c>
      <c r="P13" s="290">
        <f t="shared" si="0"/>
        <v>0</v>
      </c>
    </row>
    <row r="14" spans="1:17" ht="17.25" customHeight="1" x14ac:dyDescent="0.2">
      <c r="A14" s="25">
        <v>11</v>
      </c>
      <c r="B14" s="26" t="s">
        <v>7</v>
      </c>
      <c r="C14" s="36">
        <v>0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271">
        <f t="shared" si="1"/>
        <v>0</v>
      </c>
      <c r="P14" s="290">
        <f t="shared" si="0"/>
        <v>0</v>
      </c>
    </row>
    <row r="15" spans="1:17" ht="17.25" customHeight="1" x14ac:dyDescent="0.2">
      <c r="A15" s="25">
        <v>12</v>
      </c>
      <c r="B15" s="26" t="s">
        <v>8</v>
      </c>
      <c r="C15" s="36">
        <v>0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271">
        <f t="shared" si="1"/>
        <v>0</v>
      </c>
      <c r="P15" s="290">
        <f t="shared" si="0"/>
        <v>0</v>
      </c>
    </row>
    <row r="16" spans="1:17" ht="17.25" customHeight="1" x14ac:dyDescent="0.2">
      <c r="A16" s="25">
        <v>13</v>
      </c>
      <c r="B16" s="26" t="s">
        <v>9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271">
        <f t="shared" si="1"/>
        <v>0</v>
      </c>
      <c r="P16" s="290">
        <f t="shared" si="0"/>
        <v>0</v>
      </c>
    </row>
    <row r="17" spans="1:16" ht="17.25" customHeight="1" x14ac:dyDescent="0.2">
      <c r="A17" s="25">
        <v>14</v>
      </c>
      <c r="B17" s="26" t="s">
        <v>10</v>
      </c>
      <c r="C17" s="36">
        <v>0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271">
        <f t="shared" si="1"/>
        <v>0</v>
      </c>
      <c r="P17" s="290">
        <f t="shared" si="0"/>
        <v>0</v>
      </c>
    </row>
    <row r="18" spans="1:16" ht="17.25" customHeight="1" x14ac:dyDescent="0.2">
      <c r="A18" s="25">
        <v>15</v>
      </c>
      <c r="B18" s="26" t="s">
        <v>11</v>
      </c>
      <c r="C18" s="36">
        <v>0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271">
        <f t="shared" si="1"/>
        <v>0</v>
      </c>
      <c r="P18" s="290">
        <f t="shared" si="0"/>
        <v>0</v>
      </c>
    </row>
    <row r="19" spans="1:16" ht="17.25" customHeight="1" x14ac:dyDescent="0.2">
      <c r="A19" s="25">
        <v>16</v>
      </c>
      <c r="B19" s="26" t="s">
        <v>12</v>
      </c>
      <c r="C19" s="36">
        <v>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271">
        <f t="shared" si="1"/>
        <v>0</v>
      </c>
      <c r="P19" s="290">
        <f t="shared" si="0"/>
        <v>0</v>
      </c>
    </row>
    <row r="20" spans="1:16" ht="17.25" customHeight="1" x14ac:dyDescent="0.2">
      <c r="A20" s="25">
        <v>17</v>
      </c>
      <c r="B20" s="128" t="s">
        <v>13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271">
        <f t="shared" si="1"/>
        <v>0</v>
      </c>
      <c r="P20" s="290">
        <f t="shared" si="0"/>
        <v>0</v>
      </c>
    </row>
    <row r="21" spans="1:16" ht="17.25" customHeight="1" x14ac:dyDescent="0.2">
      <c r="A21" s="25">
        <v>18</v>
      </c>
      <c r="B21" s="26" t="s">
        <v>14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12107</v>
      </c>
      <c r="M21" s="36">
        <v>0</v>
      </c>
      <c r="N21" s="36">
        <v>0</v>
      </c>
      <c r="O21" s="271">
        <f t="shared" si="1"/>
        <v>12107</v>
      </c>
      <c r="P21" s="290">
        <f t="shared" si="0"/>
        <v>4.5626783762472693E-2</v>
      </c>
    </row>
    <row r="22" spans="1:16" ht="17.25" customHeight="1" x14ac:dyDescent="0.2">
      <c r="A22" s="25">
        <v>19</v>
      </c>
      <c r="B22" s="26" t="s">
        <v>15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271">
        <f t="shared" si="1"/>
        <v>0</v>
      </c>
      <c r="P22" s="290">
        <f t="shared" si="0"/>
        <v>0</v>
      </c>
    </row>
    <row r="23" spans="1:16" s="48" customFormat="1" ht="17.25" customHeight="1" x14ac:dyDescent="0.2">
      <c r="A23" s="45">
        <v>5.486111111111111E-2</v>
      </c>
      <c r="B23" s="154" t="s">
        <v>22</v>
      </c>
      <c r="C23" s="42">
        <f t="shared" ref="C23:N23" si="2">SUM(C5:C22)</f>
        <v>321</v>
      </c>
      <c r="D23" s="42">
        <f t="shared" si="2"/>
        <v>1070</v>
      </c>
      <c r="E23" s="42">
        <f t="shared" si="2"/>
        <v>0</v>
      </c>
      <c r="F23" s="42">
        <f t="shared" si="2"/>
        <v>0</v>
      </c>
      <c r="G23" s="42">
        <f t="shared" si="2"/>
        <v>0</v>
      </c>
      <c r="H23" s="42">
        <f t="shared" si="2"/>
        <v>0</v>
      </c>
      <c r="I23" s="42">
        <f t="shared" si="2"/>
        <v>0</v>
      </c>
      <c r="J23" s="42">
        <f t="shared" si="2"/>
        <v>3531</v>
      </c>
      <c r="K23" s="42">
        <f t="shared" si="2"/>
        <v>642</v>
      </c>
      <c r="L23" s="42">
        <f t="shared" si="2"/>
        <v>259784.53</v>
      </c>
      <c r="M23" s="42">
        <f t="shared" si="2"/>
        <v>0</v>
      </c>
      <c r="N23" s="42">
        <f t="shared" si="2"/>
        <v>0</v>
      </c>
      <c r="O23" s="54">
        <f t="shared" si="1"/>
        <v>265348.53000000003</v>
      </c>
      <c r="P23" s="291">
        <f t="shared" si="0"/>
        <v>1</v>
      </c>
    </row>
    <row r="24" spans="1:16" ht="17.25" customHeight="1" x14ac:dyDescent="0.2">
      <c r="A24" s="30">
        <v>20</v>
      </c>
      <c r="B24" s="31" t="s">
        <v>16</v>
      </c>
      <c r="C24" s="36"/>
      <c r="D24" s="36"/>
      <c r="E24" s="36"/>
      <c r="F24" s="36"/>
      <c r="G24" s="36"/>
      <c r="H24" s="36"/>
      <c r="I24" s="36"/>
      <c r="J24" s="36"/>
      <c r="K24" s="36">
        <v>0</v>
      </c>
      <c r="L24" s="36">
        <v>0</v>
      </c>
      <c r="M24" s="36">
        <v>0</v>
      </c>
      <c r="N24" s="36"/>
      <c r="O24" s="271">
        <f t="shared" si="1"/>
        <v>0</v>
      </c>
      <c r="P24" s="290">
        <f t="shared" si="0"/>
        <v>0</v>
      </c>
    </row>
    <row r="25" spans="1:16" ht="17.25" customHeight="1" x14ac:dyDescent="0.2">
      <c r="A25" s="30">
        <v>21</v>
      </c>
      <c r="B25" s="26" t="s">
        <v>17</v>
      </c>
      <c r="C25" s="36"/>
      <c r="D25" s="36"/>
      <c r="E25" s="36"/>
      <c r="F25" s="36"/>
      <c r="G25" s="36"/>
      <c r="H25" s="36"/>
      <c r="I25" s="36"/>
      <c r="J25" s="36"/>
      <c r="K25" s="36">
        <v>0</v>
      </c>
      <c r="L25" s="36">
        <v>0</v>
      </c>
      <c r="M25" s="36">
        <v>0</v>
      </c>
      <c r="N25" s="36"/>
      <c r="O25" s="271">
        <f t="shared" si="1"/>
        <v>0</v>
      </c>
      <c r="P25" s="290">
        <f t="shared" si="0"/>
        <v>0</v>
      </c>
    </row>
    <row r="26" spans="1:16" s="48" customFormat="1" ht="17.25" customHeight="1" x14ac:dyDescent="0.2">
      <c r="A26" s="49" t="s">
        <v>24</v>
      </c>
      <c r="B26" s="152" t="s">
        <v>23</v>
      </c>
      <c r="C26" s="41">
        <f>C24+C25</f>
        <v>0</v>
      </c>
      <c r="D26" s="41">
        <f t="shared" ref="D26:N26" si="3">D24+D25</f>
        <v>0</v>
      </c>
      <c r="E26" s="41">
        <f t="shared" si="3"/>
        <v>0</v>
      </c>
      <c r="F26" s="41">
        <f t="shared" si="3"/>
        <v>0</v>
      </c>
      <c r="G26" s="41">
        <f t="shared" si="3"/>
        <v>0</v>
      </c>
      <c r="H26" s="41">
        <f t="shared" si="3"/>
        <v>0</v>
      </c>
      <c r="I26" s="41">
        <f t="shared" si="3"/>
        <v>0</v>
      </c>
      <c r="J26" s="41">
        <f t="shared" si="3"/>
        <v>0</v>
      </c>
      <c r="K26" s="41">
        <f t="shared" si="3"/>
        <v>0</v>
      </c>
      <c r="L26" s="41">
        <f t="shared" si="3"/>
        <v>0</v>
      </c>
      <c r="M26" s="41">
        <f t="shared" si="3"/>
        <v>0</v>
      </c>
      <c r="N26" s="41">
        <f t="shared" si="3"/>
        <v>0</v>
      </c>
      <c r="O26" s="276">
        <f t="shared" si="1"/>
        <v>0</v>
      </c>
      <c r="P26" s="292">
        <f t="shared" si="0"/>
        <v>0</v>
      </c>
    </row>
    <row r="27" spans="1:16" s="55" customFormat="1" ht="17.25" customHeight="1" x14ac:dyDescent="0.2">
      <c r="A27" s="203" t="s">
        <v>26</v>
      </c>
      <c r="B27" s="208" t="s">
        <v>25</v>
      </c>
      <c r="C27" s="282">
        <f>C23+C26</f>
        <v>321</v>
      </c>
      <c r="D27" s="282">
        <f t="shared" ref="D27:N27" si="4">D23+D26</f>
        <v>1070</v>
      </c>
      <c r="E27" s="282">
        <f t="shared" si="4"/>
        <v>0</v>
      </c>
      <c r="F27" s="282">
        <f t="shared" si="4"/>
        <v>0</v>
      </c>
      <c r="G27" s="282">
        <f t="shared" si="4"/>
        <v>0</v>
      </c>
      <c r="H27" s="282">
        <f t="shared" si="4"/>
        <v>0</v>
      </c>
      <c r="I27" s="282">
        <f t="shared" si="4"/>
        <v>0</v>
      </c>
      <c r="J27" s="282">
        <f t="shared" si="4"/>
        <v>3531</v>
      </c>
      <c r="K27" s="282">
        <f t="shared" si="4"/>
        <v>642</v>
      </c>
      <c r="L27" s="282">
        <f t="shared" si="4"/>
        <v>259784.53</v>
      </c>
      <c r="M27" s="282">
        <f t="shared" si="4"/>
        <v>0</v>
      </c>
      <c r="N27" s="282">
        <f t="shared" si="4"/>
        <v>0</v>
      </c>
      <c r="O27" s="283">
        <f t="shared" si="1"/>
        <v>265348.53000000003</v>
      </c>
      <c r="P27" s="293">
        <f t="shared" si="0"/>
        <v>1</v>
      </c>
    </row>
    <row r="28" spans="1:16" s="114" customFormat="1" ht="18" customHeight="1" x14ac:dyDescent="0.45">
      <c r="A28" s="62"/>
      <c r="B28" s="194"/>
      <c r="O28" s="167"/>
      <c r="P28" s="300"/>
    </row>
    <row r="29" spans="1:16" s="114" customFormat="1" ht="18" customHeight="1" x14ac:dyDescent="0.45">
      <c r="A29" s="62"/>
      <c r="B29" s="194"/>
      <c r="L29" s="364" t="s">
        <v>50</v>
      </c>
      <c r="M29" s="364"/>
      <c r="N29" s="364"/>
      <c r="O29" s="167"/>
      <c r="P29" s="300"/>
    </row>
    <row r="30" spans="1:16" s="114" customFormat="1" ht="18" customHeight="1" x14ac:dyDescent="0.45">
      <c r="A30" s="62"/>
      <c r="B30" s="194"/>
      <c r="G30" s="364" t="s">
        <v>81</v>
      </c>
      <c r="H30" s="364"/>
      <c r="I30" s="364"/>
      <c r="J30" s="15"/>
      <c r="K30" s="15"/>
      <c r="L30" s="364"/>
      <c r="M30" s="364"/>
      <c r="N30" s="364"/>
      <c r="O30" s="167"/>
      <c r="P30" s="300"/>
    </row>
    <row r="31" spans="1:16" s="114" customFormat="1" ht="18" customHeight="1" x14ac:dyDescent="0.45">
      <c r="A31" s="62"/>
      <c r="B31" s="194"/>
      <c r="G31" s="15"/>
      <c r="H31" s="15" t="s">
        <v>51</v>
      </c>
      <c r="I31" s="15"/>
      <c r="J31" s="15"/>
      <c r="K31" s="15"/>
      <c r="L31" s="17"/>
      <c r="M31" s="15" t="s">
        <v>52</v>
      </c>
      <c r="N31" s="18"/>
      <c r="O31" s="167"/>
      <c r="P31" s="300"/>
    </row>
    <row r="32" spans="1:16" s="114" customFormat="1" ht="18" customHeight="1" x14ac:dyDescent="0.45">
      <c r="A32" s="62"/>
      <c r="B32" s="194"/>
      <c r="G32" s="15"/>
      <c r="H32" s="17" t="s">
        <v>53</v>
      </c>
      <c r="I32" s="17"/>
      <c r="J32" s="17"/>
      <c r="K32" s="15"/>
      <c r="L32" s="17"/>
      <c r="M32" s="15" t="s">
        <v>54</v>
      </c>
      <c r="N32" s="18"/>
      <c r="O32" s="167"/>
      <c r="P32" s="300"/>
    </row>
    <row r="33" spans="1:16" s="114" customFormat="1" ht="18" customHeight="1" x14ac:dyDescent="0.45">
      <c r="A33" s="62"/>
      <c r="B33" s="194"/>
      <c r="G33" s="17"/>
      <c r="H33" s="17"/>
      <c r="I33" s="17"/>
      <c r="J33" s="17"/>
      <c r="K33" s="15"/>
      <c r="L33" s="17"/>
      <c r="M33" s="17"/>
      <c r="N33" s="19"/>
      <c r="O33" s="167"/>
      <c r="P33" s="300"/>
    </row>
    <row r="34" spans="1:16" s="114" customFormat="1" ht="18" customHeight="1" x14ac:dyDescent="0.45">
      <c r="A34" s="62"/>
      <c r="B34" s="194"/>
      <c r="O34" s="167"/>
      <c r="P34" s="300"/>
    </row>
    <row r="35" spans="1:16" s="114" customFormat="1" ht="18" customHeight="1" x14ac:dyDescent="0.45">
      <c r="A35" s="62"/>
      <c r="B35" s="194"/>
      <c r="O35" s="167"/>
      <c r="P35" s="300"/>
    </row>
  </sheetData>
  <mergeCells count="2">
    <mergeCell ref="G30:I30"/>
    <mergeCell ref="L29:N30"/>
  </mergeCells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topLeftCell="A22" workbookViewId="0">
      <selection activeCell="N26" sqref="N26"/>
    </sheetView>
  </sheetViews>
  <sheetFormatPr defaultRowHeight="17.25" customHeight="1" x14ac:dyDescent="0.2"/>
  <cols>
    <col min="1" max="1" width="4.75" style="264" customWidth="1"/>
    <col min="2" max="2" width="15.25" style="127" customWidth="1"/>
    <col min="3" max="14" width="8.375" style="27" customWidth="1"/>
    <col min="15" max="15" width="10" style="297" customWidth="1"/>
    <col min="16" max="16" width="9.625" style="295" customWidth="1"/>
    <col min="17" max="16384" width="9" style="27"/>
  </cols>
  <sheetData>
    <row r="1" spans="1:17" s="11" customFormat="1" ht="17.25" customHeight="1" x14ac:dyDescent="0.2">
      <c r="A1" s="100"/>
      <c r="B1" s="126"/>
      <c r="C1" s="9"/>
      <c r="D1" s="10" t="s">
        <v>63</v>
      </c>
      <c r="E1" s="9"/>
      <c r="F1" s="9"/>
      <c r="G1" s="9"/>
      <c r="H1" s="9"/>
      <c r="K1" s="10" t="str">
        <f>'2.4วสด. LAB'!K1</f>
        <v xml:space="preserve"> ปีงบประมาณ   2561</v>
      </c>
      <c r="L1" s="9"/>
      <c r="M1" s="9"/>
      <c r="N1" s="9"/>
      <c r="O1" s="162"/>
      <c r="P1" s="294"/>
      <c r="Q1" s="60"/>
    </row>
    <row r="2" spans="1:17" s="11" customFormat="1" ht="17.25" customHeight="1" x14ac:dyDescent="0.2">
      <c r="A2" s="100"/>
      <c r="B2" s="126"/>
      <c r="C2" s="10" t="str">
        <f>'[1]1.1.ยา(ทั่วไป)'!C2</f>
        <v>จาก ฝ่ายเภสัชกรรมชุมชน  โรงพยาบาลกุมภวาปี</v>
      </c>
      <c r="D2" s="9"/>
      <c r="F2" s="9"/>
      <c r="G2" s="9"/>
      <c r="I2" s="9"/>
      <c r="J2" s="9"/>
      <c r="K2" s="9"/>
      <c r="M2" s="12"/>
      <c r="N2" s="13" t="str">
        <f>'2.รวมวชย ทุกประเภท'!N2</f>
        <v xml:space="preserve">รายงานข้อมูลณ วันที่ 28/9/61 </v>
      </c>
      <c r="O2" s="165"/>
      <c r="P2" s="294"/>
      <c r="Q2" s="60"/>
    </row>
    <row r="3" spans="1:17" ht="6.75" customHeight="1" x14ac:dyDescent="0.2"/>
    <row r="4" spans="1:17" ht="17.25" customHeight="1" x14ac:dyDescent="0.2">
      <c r="A4" s="25" t="s">
        <v>0</v>
      </c>
      <c r="B4" s="26" t="s">
        <v>1</v>
      </c>
      <c r="C4" s="254" t="s">
        <v>27</v>
      </c>
      <c r="D4" s="254" t="s">
        <v>28</v>
      </c>
      <c r="E4" s="254" t="s">
        <v>29</v>
      </c>
      <c r="F4" s="254" t="s">
        <v>30</v>
      </c>
      <c r="G4" s="254" t="s">
        <v>31</v>
      </c>
      <c r="H4" s="254" t="s">
        <v>32</v>
      </c>
      <c r="I4" s="254" t="s">
        <v>33</v>
      </c>
      <c r="J4" s="254" t="s">
        <v>34</v>
      </c>
      <c r="K4" s="254" t="s">
        <v>35</v>
      </c>
      <c r="L4" s="254" t="s">
        <v>36</v>
      </c>
      <c r="M4" s="254" t="s">
        <v>37</v>
      </c>
      <c r="N4" s="254" t="s">
        <v>38</v>
      </c>
      <c r="O4" s="298" t="s">
        <v>39</v>
      </c>
      <c r="P4" s="296" t="s">
        <v>40</v>
      </c>
    </row>
    <row r="5" spans="1:17" ht="17.25" customHeight="1" x14ac:dyDescent="0.2">
      <c r="A5" s="25">
        <v>1</v>
      </c>
      <c r="B5" s="26" t="s">
        <v>18</v>
      </c>
      <c r="C5" s="36">
        <v>63</v>
      </c>
      <c r="D5" s="36">
        <v>126</v>
      </c>
      <c r="E5" s="36">
        <v>0</v>
      </c>
      <c r="F5" s="36">
        <v>0</v>
      </c>
      <c r="G5" s="36">
        <v>126</v>
      </c>
      <c r="H5" s="36">
        <v>0</v>
      </c>
      <c r="I5" s="36">
        <v>0</v>
      </c>
      <c r="J5" s="36">
        <v>0</v>
      </c>
      <c r="K5" s="36">
        <v>126</v>
      </c>
      <c r="L5" s="36">
        <v>0</v>
      </c>
      <c r="M5" s="36">
        <v>0</v>
      </c>
      <c r="N5" s="36">
        <v>126</v>
      </c>
      <c r="O5" s="271">
        <f>SUM(C5:N5)</f>
        <v>567</v>
      </c>
      <c r="P5" s="290">
        <f t="shared" ref="P5:P27" si="0">O5/$O$23</f>
        <v>0.36290322580645157</v>
      </c>
    </row>
    <row r="6" spans="1:17" ht="17.25" customHeight="1" x14ac:dyDescent="0.2">
      <c r="A6" s="25">
        <v>2</v>
      </c>
      <c r="B6" s="26" t="s">
        <v>19</v>
      </c>
      <c r="C6" s="36">
        <v>0</v>
      </c>
      <c r="D6" s="36">
        <v>0</v>
      </c>
      <c r="E6" s="36">
        <v>0</v>
      </c>
      <c r="F6" s="36">
        <v>0</v>
      </c>
      <c r="G6" s="36">
        <v>0</v>
      </c>
      <c r="H6" s="36">
        <v>0</v>
      </c>
      <c r="I6" s="36">
        <v>25.2</v>
      </c>
      <c r="J6" s="36">
        <v>0</v>
      </c>
      <c r="K6" s="36">
        <v>0</v>
      </c>
      <c r="L6" s="36">
        <v>0</v>
      </c>
      <c r="M6" s="36">
        <v>63</v>
      </c>
      <c r="N6" s="36">
        <v>0</v>
      </c>
      <c r="O6" s="271">
        <f t="shared" ref="O6:O27" si="1">SUM(C6:N6)</f>
        <v>88.2</v>
      </c>
      <c r="P6" s="290">
        <f t="shared" si="0"/>
        <v>5.6451612903225805E-2</v>
      </c>
    </row>
    <row r="7" spans="1:17" ht="17.25" customHeight="1" x14ac:dyDescent="0.2">
      <c r="A7" s="25">
        <v>3</v>
      </c>
      <c r="B7" s="26" t="s">
        <v>20</v>
      </c>
      <c r="C7" s="36">
        <v>0</v>
      </c>
      <c r="D7" s="36">
        <v>0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  <c r="O7" s="271">
        <f t="shared" si="1"/>
        <v>0</v>
      </c>
      <c r="P7" s="290">
        <f t="shared" si="0"/>
        <v>0</v>
      </c>
    </row>
    <row r="8" spans="1:17" ht="17.25" customHeight="1" x14ac:dyDescent="0.2">
      <c r="A8" s="25">
        <v>4</v>
      </c>
      <c r="B8" s="26" t="s">
        <v>21</v>
      </c>
      <c r="C8" s="36">
        <v>0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271">
        <f t="shared" si="1"/>
        <v>0</v>
      </c>
      <c r="P8" s="290">
        <f t="shared" si="0"/>
        <v>0</v>
      </c>
    </row>
    <row r="9" spans="1:17" ht="17.25" customHeight="1" x14ac:dyDescent="0.2">
      <c r="A9" s="25">
        <v>5</v>
      </c>
      <c r="B9" s="26" t="s">
        <v>2</v>
      </c>
      <c r="C9" s="36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271">
        <f t="shared" si="1"/>
        <v>0</v>
      </c>
      <c r="P9" s="290">
        <f t="shared" si="0"/>
        <v>0</v>
      </c>
    </row>
    <row r="10" spans="1:17" ht="17.25" customHeight="1" x14ac:dyDescent="0.2">
      <c r="A10" s="25">
        <v>6</v>
      </c>
      <c r="B10" s="26" t="s">
        <v>3</v>
      </c>
      <c r="C10" s="36">
        <v>0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126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271">
        <f t="shared" si="1"/>
        <v>126</v>
      </c>
      <c r="P10" s="290">
        <f t="shared" si="0"/>
        <v>8.0645161290322578E-2</v>
      </c>
    </row>
    <row r="11" spans="1:17" ht="17.25" customHeight="1" x14ac:dyDescent="0.2">
      <c r="A11" s="25">
        <v>7</v>
      </c>
      <c r="B11" s="26" t="s">
        <v>4</v>
      </c>
      <c r="C11" s="36">
        <v>126</v>
      </c>
      <c r="D11" s="36">
        <v>126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126</v>
      </c>
      <c r="K11" s="36">
        <v>378</v>
      </c>
      <c r="L11" s="36">
        <v>0</v>
      </c>
      <c r="M11" s="36">
        <v>0</v>
      </c>
      <c r="N11" s="36">
        <v>0</v>
      </c>
      <c r="O11" s="271">
        <f t="shared" si="1"/>
        <v>756</v>
      </c>
      <c r="P11" s="290">
        <f t="shared" si="0"/>
        <v>0.48387096774193544</v>
      </c>
    </row>
    <row r="12" spans="1:17" ht="17.25" customHeight="1" x14ac:dyDescent="0.2">
      <c r="A12" s="25">
        <v>9</v>
      </c>
      <c r="B12" s="26" t="s">
        <v>5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271">
        <f t="shared" si="1"/>
        <v>0</v>
      </c>
      <c r="P12" s="290">
        <f t="shared" si="0"/>
        <v>0</v>
      </c>
    </row>
    <row r="13" spans="1:17" ht="17.25" customHeight="1" x14ac:dyDescent="0.2">
      <c r="A13" s="25">
        <v>10</v>
      </c>
      <c r="B13" s="26" t="s">
        <v>6</v>
      </c>
      <c r="C13" s="36">
        <v>0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271">
        <f t="shared" si="1"/>
        <v>0</v>
      </c>
      <c r="P13" s="290">
        <f t="shared" si="0"/>
        <v>0</v>
      </c>
    </row>
    <row r="14" spans="1:17" ht="17.25" customHeight="1" x14ac:dyDescent="0.2">
      <c r="A14" s="25">
        <v>11</v>
      </c>
      <c r="B14" s="26" t="s">
        <v>7</v>
      </c>
      <c r="C14" s="36">
        <v>0</v>
      </c>
      <c r="D14" s="36">
        <v>25.2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271">
        <f t="shared" si="1"/>
        <v>25.2</v>
      </c>
      <c r="P14" s="290">
        <f t="shared" si="0"/>
        <v>1.6129032258064516E-2</v>
      </c>
    </row>
    <row r="15" spans="1:17" ht="17.25" customHeight="1" x14ac:dyDescent="0.2">
      <c r="A15" s="25">
        <v>12</v>
      </c>
      <c r="B15" s="26" t="s">
        <v>8</v>
      </c>
      <c r="C15" s="36">
        <v>0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271">
        <f t="shared" si="1"/>
        <v>0</v>
      </c>
      <c r="P15" s="290">
        <f t="shared" si="0"/>
        <v>0</v>
      </c>
    </row>
    <row r="16" spans="1:17" ht="17.25" customHeight="1" x14ac:dyDescent="0.2">
      <c r="A16" s="25">
        <v>13</v>
      </c>
      <c r="B16" s="26" t="s">
        <v>9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271">
        <f t="shared" si="1"/>
        <v>0</v>
      </c>
      <c r="P16" s="290">
        <f t="shared" si="0"/>
        <v>0</v>
      </c>
    </row>
    <row r="17" spans="1:16" ht="17.25" customHeight="1" x14ac:dyDescent="0.2">
      <c r="A17" s="25">
        <v>14</v>
      </c>
      <c r="B17" s="26" t="s">
        <v>10</v>
      </c>
      <c r="C17" s="36">
        <v>0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271">
        <f t="shared" si="1"/>
        <v>0</v>
      </c>
      <c r="P17" s="290">
        <f t="shared" si="0"/>
        <v>0</v>
      </c>
    </row>
    <row r="18" spans="1:16" ht="17.25" customHeight="1" x14ac:dyDescent="0.2">
      <c r="A18" s="25">
        <v>15</v>
      </c>
      <c r="B18" s="26" t="s">
        <v>11</v>
      </c>
      <c r="C18" s="36">
        <v>0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271">
        <f t="shared" si="1"/>
        <v>0</v>
      </c>
      <c r="P18" s="290">
        <f t="shared" si="0"/>
        <v>0</v>
      </c>
    </row>
    <row r="19" spans="1:16" ht="17.25" customHeight="1" x14ac:dyDescent="0.2">
      <c r="A19" s="25">
        <v>16</v>
      </c>
      <c r="B19" s="26" t="s">
        <v>12</v>
      </c>
      <c r="C19" s="36">
        <v>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271">
        <f t="shared" si="1"/>
        <v>0</v>
      </c>
      <c r="P19" s="290">
        <f t="shared" si="0"/>
        <v>0</v>
      </c>
    </row>
    <row r="20" spans="1:16" ht="17.25" customHeight="1" x14ac:dyDescent="0.2">
      <c r="A20" s="25">
        <v>17</v>
      </c>
      <c r="B20" s="128" t="s">
        <v>13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271">
        <f t="shared" si="1"/>
        <v>0</v>
      </c>
      <c r="P20" s="290">
        <f t="shared" si="0"/>
        <v>0</v>
      </c>
    </row>
    <row r="21" spans="1:16" ht="17.25" customHeight="1" x14ac:dyDescent="0.2">
      <c r="A21" s="25">
        <v>18</v>
      </c>
      <c r="B21" s="26" t="s">
        <v>14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271">
        <f t="shared" si="1"/>
        <v>0</v>
      </c>
      <c r="P21" s="290">
        <f t="shared" si="0"/>
        <v>0</v>
      </c>
    </row>
    <row r="22" spans="1:16" ht="17.25" customHeight="1" x14ac:dyDescent="0.2">
      <c r="A22" s="25">
        <v>19</v>
      </c>
      <c r="B22" s="26" t="s">
        <v>15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271">
        <f t="shared" si="1"/>
        <v>0</v>
      </c>
      <c r="P22" s="290">
        <f t="shared" si="0"/>
        <v>0</v>
      </c>
    </row>
    <row r="23" spans="1:16" s="48" customFormat="1" ht="17.25" customHeight="1" x14ac:dyDescent="0.2">
      <c r="A23" s="45">
        <v>5.486111111111111E-2</v>
      </c>
      <c r="B23" s="154" t="s">
        <v>22</v>
      </c>
      <c r="C23" s="42">
        <f t="shared" ref="C23:N23" si="2">SUM(C5:C22)</f>
        <v>189</v>
      </c>
      <c r="D23" s="42">
        <f t="shared" si="2"/>
        <v>277.2</v>
      </c>
      <c r="E23" s="42">
        <f t="shared" si="2"/>
        <v>0</v>
      </c>
      <c r="F23" s="42">
        <f t="shared" si="2"/>
        <v>0</v>
      </c>
      <c r="G23" s="42">
        <f t="shared" si="2"/>
        <v>126</v>
      </c>
      <c r="H23" s="42">
        <f t="shared" si="2"/>
        <v>0</v>
      </c>
      <c r="I23" s="42">
        <f t="shared" si="2"/>
        <v>151.19999999999999</v>
      </c>
      <c r="J23" s="42">
        <f t="shared" si="2"/>
        <v>126</v>
      </c>
      <c r="K23" s="42">
        <f t="shared" si="2"/>
        <v>504</v>
      </c>
      <c r="L23" s="42">
        <f t="shared" si="2"/>
        <v>0</v>
      </c>
      <c r="M23" s="42">
        <f t="shared" si="2"/>
        <v>63</v>
      </c>
      <c r="N23" s="42">
        <f t="shared" si="2"/>
        <v>126</v>
      </c>
      <c r="O23" s="54">
        <f t="shared" si="1"/>
        <v>1562.4</v>
      </c>
      <c r="P23" s="291">
        <f t="shared" si="0"/>
        <v>1</v>
      </c>
    </row>
    <row r="24" spans="1:16" ht="17.25" customHeight="1" x14ac:dyDescent="0.2">
      <c r="A24" s="30">
        <v>20</v>
      </c>
      <c r="B24" s="31" t="s">
        <v>83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63</v>
      </c>
      <c r="M24" s="36">
        <v>0</v>
      </c>
      <c r="N24" s="36">
        <f>4478.84+4786.6</f>
        <v>9265.44</v>
      </c>
      <c r="O24" s="271">
        <f t="shared" si="1"/>
        <v>9328.44</v>
      </c>
      <c r="P24" s="290">
        <f t="shared" si="0"/>
        <v>5.9705837173579113</v>
      </c>
    </row>
    <row r="25" spans="1:16" ht="17.25" customHeight="1" x14ac:dyDescent="0.2">
      <c r="A25" s="30">
        <v>21</v>
      </c>
      <c r="B25" s="26" t="s">
        <v>17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271">
        <f t="shared" si="1"/>
        <v>0</v>
      </c>
      <c r="P25" s="290">
        <f t="shared" si="0"/>
        <v>0</v>
      </c>
    </row>
    <row r="26" spans="1:16" s="48" customFormat="1" ht="17.25" customHeight="1" x14ac:dyDescent="0.2">
      <c r="A26" s="49" t="s">
        <v>24</v>
      </c>
      <c r="B26" s="152" t="s">
        <v>23</v>
      </c>
      <c r="C26" s="41">
        <f>C24+C25</f>
        <v>0</v>
      </c>
      <c r="D26" s="41">
        <f t="shared" ref="D26:N26" si="3">D24+D25</f>
        <v>0</v>
      </c>
      <c r="E26" s="41">
        <f t="shared" si="3"/>
        <v>0</v>
      </c>
      <c r="F26" s="41">
        <f t="shared" si="3"/>
        <v>0</v>
      </c>
      <c r="G26" s="41">
        <f t="shared" si="3"/>
        <v>0</v>
      </c>
      <c r="H26" s="41">
        <f t="shared" si="3"/>
        <v>0</v>
      </c>
      <c r="I26" s="41">
        <f t="shared" si="3"/>
        <v>0</v>
      </c>
      <c r="J26" s="41">
        <f t="shared" si="3"/>
        <v>0</v>
      </c>
      <c r="K26" s="41">
        <f t="shared" si="3"/>
        <v>0</v>
      </c>
      <c r="L26" s="41">
        <f t="shared" si="3"/>
        <v>63</v>
      </c>
      <c r="M26" s="41">
        <f t="shared" si="3"/>
        <v>0</v>
      </c>
      <c r="N26" s="41">
        <f t="shared" si="3"/>
        <v>9265.44</v>
      </c>
      <c r="O26" s="276">
        <f t="shared" si="1"/>
        <v>9328.44</v>
      </c>
      <c r="P26" s="292">
        <f t="shared" si="0"/>
        <v>5.9705837173579113</v>
      </c>
    </row>
    <row r="27" spans="1:16" s="55" customFormat="1" ht="17.25" customHeight="1" x14ac:dyDescent="0.2">
      <c r="A27" s="203" t="s">
        <v>26</v>
      </c>
      <c r="B27" s="208" t="s">
        <v>25</v>
      </c>
      <c r="C27" s="282">
        <f>C23+C26</f>
        <v>189</v>
      </c>
      <c r="D27" s="282">
        <f t="shared" ref="D27:N27" si="4">D23+D26</f>
        <v>277.2</v>
      </c>
      <c r="E27" s="282">
        <f t="shared" si="4"/>
        <v>0</v>
      </c>
      <c r="F27" s="282">
        <f t="shared" si="4"/>
        <v>0</v>
      </c>
      <c r="G27" s="282">
        <f t="shared" si="4"/>
        <v>126</v>
      </c>
      <c r="H27" s="282">
        <f t="shared" si="4"/>
        <v>0</v>
      </c>
      <c r="I27" s="282">
        <f t="shared" si="4"/>
        <v>151.19999999999999</v>
      </c>
      <c r="J27" s="282">
        <f t="shared" si="4"/>
        <v>126</v>
      </c>
      <c r="K27" s="282">
        <f t="shared" si="4"/>
        <v>504</v>
      </c>
      <c r="L27" s="282">
        <f t="shared" si="4"/>
        <v>63</v>
      </c>
      <c r="M27" s="282">
        <f t="shared" si="4"/>
        <v>63</v>
      </c>
      <c r="N27" s="282">
        <f t="shared" si="4"/>
        <v>9391.44</v>
      </c>
      <c r="O27" s="283">
        <f t="shared" si="1"/>
        <v>10890.84</v>
      </c>
      <c r="P27" s="293">
        <f t="shared" si="0"/>
        <v>6.9705837173579104</v>
      </c>
    </row>
    <row r="28" spans="1:16" s="114" customFormat="1" ht="18" customHeight="1" x14ac:dyDescent="0.45">
      <c r="A28" s="62"/>
      <c r="B28" s="194"/>
      <c r="O28" s="167"/>
      <c r="P28" s="300"/>
    </row>
    <row r="29" spans="1:16" s="114" customFormat="1" ht="18" customHeight="1" x14ac:dyDescent="0.45">
      <c r="A29" s="62"/>
      <c r="B29" s="194"/>
      <c r="L29" s="364" t="s">
        <v>50</v>
      </c>
      <c r="M29" s="364"/>
      <c r="N29" s="364"/>
      <c r="O29" s="167"/>
      <c r="P29" s="300"/>
    </row>
    <row r="30" spans="1:16" s="114" customFormat="1" ht="18" customHeight="1" x14ac:dyDescent="0.45">
      <c r="A30" s="62"/>
      <c r="B30" s="194"/>
      <c r="G30" s="364" t="s">
        <v>81</v>
      </c>
      <c r="H30" s="364"/>
      <c r="I30" s="364"/>
      <c r="J30" s="15"/>
      <c r="K30" s="15"/>
      <c r="L30" s="364"/>
      <c r="M30" s="364"/>
      <c r="N30" s="364"/>
      <c r="O30" s="167"/>
      <c r="P30" s="300"/>
    </row>
    <row r="31" spans="1:16" s="114" customFormat="1" ht="18" customHeight="1" x14ac:dyDescent="0.45">
      <c r="A31" s="62"/>
      <c r="B31" s="194"/>
      <c r="G31" s="15"/>
      <c r="H31" s="15" t="s">
        <v>51</v>
      </c>
      <c r="I31" s="15"/>
      <c r="J31" s="15"/>
      <c r="K31" s="15"/>
      <c r="L31" s="17"/>
      <c r="M31" s="15" t="s">
        <v>52</v>
      </c>
      <c r="N31" s="18"/>
      <c r="O31" s="167"/>
      <c r="P31" s="300"/>
    </row>
    <row r="32" spans="1:16" s="114" customFormat="1" ht="18" customHeight="1" x14ac:dyDescent="0.45">
      <c r="A32" s="62"/>
      <c r="B32" s="194"/>
      <c r="G32" s="15"/>
      <c r="H32" s="17" t="s">
        <v>53</v>
      </c>
      <c r="I32" s="17"/>
      <c r="J32" s="17"/>
      <c r="K32" s="15"/>
      <c r="L32" s="17"/>
      <c r="M32" s="15" t="s">
        <v>54</v>
      </c>
      <c r="N32" s="18"/>
      <c r="O32" s="167"/>
      <c r="P32" s="300"/>
    </row>
    <row r="33" spans="1:16" s="114" customFormat="1" ht="18" customHeight="1" x14ac:dyDescent="0.45">
      <c r="A33" s="62"/>
      <c r="B33" s="194"/>
      <c r="G33" s="17"/>
      <c r="H33" s="17"/>
      <c r="I33" s="17"/>
      <c r="J33" s="17"/>
      <c r="K33" s="15"/>
      <c r="L33" s="17"/>
      <c r="M33" s="17"/>
      <c r="N33" s="19"/>
      <c r="O33" s="167"/>
      <c r="P33" s="300"/>
    </row>
    <row r="34" spans="1:16" s="114" customFormat="1" ht="18" customHeight="1" x14ac:dyDescent="0.45">
      <c r="A34" s="62"/>
      <c r="B34" s="194"/>
      <c r="O34" s="167"/>
      <c r="P34" s="300"/>
    </row>
    <row r="35" spans="1:16" s="114" customFormat="1" ht="18" customHeight="1" x14ac:dyDescent="0.45">
      <c r="A35" s="62"/>
      <c r="B35" s="194"/>
      <c r="O35" s="167"/>
      <c r="P35" s="300"/>
    </row>
  </sheetData>
  <mergeCells count="2">
    <mergeCell ref="L29:N30"/>
    <mergeCell ref="G30:I30"/>
  </mergeCells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showGridLines="0" topLeftCell="A13" zoomScale="118" zoomScaleNormal="118" workbookViewId="0">
      <selection activeCell="N26" sqref="N26"/>
    </sheetView>
  </sheetViews>
  <sheetFormatPr defaultRowHeight="30.75" customHeight="1" x14ac:dyDescent="0.2"/>
  <cols>
    <col min="1" max="1" width="4.375" style="20" customWidth="1"/>
    <col min="2" max="2" width="15.125" style="20" customWidth="1"/>
    <col min="3" max="3" width="7.75" style="21" customWidth="1"/>
    <col min="4" max="14" width="7.75" style="22" customWidth="1"/>
    <col min="15" max="15" width="9.125" style="301" customWidth="1"/>
    <col min="16" max="16" width="9.875" style="337" customWidth="1"/>
    <col min="17" max="16384" width="9" style="20"/>
  </cols>
  <sheetData>
    <row r="1" spans="1:17" s="66" customFormat="1" ht="22.5" customHeight="1" x14ac:dyDescent="0.2">
      <c r="A1" s="65"/>
      <c r="C1" s="67"/>
      <c r="D1" s="68" t="s">
        <v>41</v>
      </c>
      <c r="E1" s="68"/>
      <c r="F1" s="68"/>
      <c r="G1" s="68"/>
      <c r="H1" s="68"/>
      <c r="I1" s="68"/>
      <c r="J1" s="68"/>
      <c r="K1" s="68" t="str">
        <f>สรุปยอด!C3</f>
        <v xml:space="preserve"> ปีงบประมาณ   2561</v>
      </c>
      <c r="L1" s="68"/>
      <c r="M1" s="68"/>
      <c r="N1" s="68"/>
      <c r="P1" s="334"/>
      <c r="Q1" s="69"/>
    </row>
    <row r="2" spans="1:17" s="66" customFormat="1" ht="22.5" customHeight="1" x14ac:dyDescent="0.2">
      <c r="A2" s="65"/>
      <c r="C2" s="67" t="str">
        <f>สรุปยอด!C2</f>
        <v>จากคลังยา    กลุ่มงานเภสัชกรรม     โรงพยาบาลกุมภวาปี</v>
      </c>
      <c r="D2" s="68"/>
      <c r="E2" s="68"/>
      <c r="F2" s="68"/>
      <c r="G2" s="68"/>
      <c r="H2" s="68"/>
      <c r="I2" s="68"/>
      <c r="J2" s="68"/>
      <c r="K2" s="68"/>
      <c r="L2" s="68"/>
      <c r="M2" s="70"/>
      <c r="N2" s="70" t="str">
        <f>สรุปยอด!D4</f>
        <v xml:space="preserve">รายงานข้อมูลณ วันที่ 28/9/61 </v>
      </c>
      <c r="O2" s="71"/>
      <c r="P2" s="334"/>
      <c r="Q2" s="69"/>
    </row>
    <row r="3" spans="1:17" s="66" customFormat="1" ht="5.25" customHeight="1" x14ac:dyDescent="0.2">
      <c r="A3" s="65"/>
      <c r="C3" s="67"/>
      <c r="D3" s="68"/>
      <c r="E3" s="68"/>
      <c r="F3" s="68"/>
      <c r="G3" s="68"/>
      <c r="H3" s="68"/>
      <c r="I3" s="68"/>
      <c r="J3" s="68"/>
      <c r="K3" s="68"/>
      <c r="L3" s="68"/>
      <c r="M3" s="70"/>
      <c r="N3" s="70"/>
      <c r="O3" s="71"/>
      <c r="P3" s="334"/>
      <c r="Q3" s="69"/>
    </row>
    <row r="4" spans="1:17" s="75" customFormat="1" ht="17.25" customHeight="1" x14ac:dyDescent="0.2">
      <c r="A4" s="72" t="s">
        <v>0</v>
      </c>
      <c r="B4" s="73" t="s">
        <v>1</v>
      </c>
      <c r="C4" s="74" t="s">
        <v>27</v>
      </c>
      <c r="D4" s="73" t="s">
        <v>28</v>
      </c>
      <c r="E4" s="73" t="s">
        <v>29</v>
      </c>
      <c r="F4" s="73" t="s">
        <v>30</v>
      </c>
      <c r="G4" s="73" t="s">
        <v>31</v>
      </c>
      <c r="H4" s="73" t="s">
        <v>32</v>
      </c>
      <c r="I4" s="73" t="s">
        <v>33</v>
      </c>
      <c r="J4" s="73" t="s">
        <v>34</v>
      </c>
      <c r="K4" s="73" t="s">
        <v>35</v>
      </c>
      <c r="L4" s="73" t="s">
        <v>36</v>
      </c>
      <c r="M4" s="73" t="s">
        <v>37</v>
      </c>
      <c r="N4" s="73" t="s">
        <v>38</v>
      </c>
      <c r="O4" s="77" t="s">
        <v>39</v>
      </c>
      <c r="P4" s="335" t="e">
        <f>E5=ช</f>
        <v>#NAME?</v>
      </c>
    </row>
    <row r="5" spans="1:17" s="27" customFormat="1" ht="18" customHeight="1" x14ac:dyDescent="0.2">
      <c r="A5" s="25">
        <v>1</v>
      </c>
      <c r="B5" s="26" t="s">
        <v>18</v>
      </c>
      <c r="C5" s="35">
        <f>18189.39+368+4123.9+10069.98+2908.06</f>
        <v>35659.33</v>
      </c>
      <c r="D5" s="36">
        <f>1926+500+49.5+1535+9989+15563.57+7540+2000+1580</f>
        <v>40683.07</v>
      </c>
      <c r="E5" s="36">
        <f>11825.98+300+1450</f>
        <v>13575.98</v>
      </c>
      <c r="F5" s="36">
        <f>3867.68+345+718+1224.9+4550.08+28954.1+1185</f>
        <v>40844.759999999995</v>
      </c>
      <c r="G5" s="36">
        <f>8886.4+275</f>
        <v>9161.4</v>
      </c>
      <c r="H5" s="36">
        <f>19899.28+1430.04+2376+550+1118.4</f>
        <v>25373.72</v>
      </c>
      <c r="I5" s="36">
        <v>0</v>
      </c>
      <c r="J5" s="36">
        <f>36819.21+740+78.45+680+3678</f>
        <v>41995.659999999996</v>
      </c>
      <c r="K5" s="36">
        <f>50773.3+158.4+280+2700.2+130+2021.76+972+438+4686</f>
        <v>62159.66</v>
      </c>
      <c r="L5" s="36">
        <f>420+21763.54+1102+4672</f>
        <v>27957.54</v>
      </c>
      <c r="M5" s="36">
        <f>15994.25+981.66+74+2350+2247</f>
        <v>21646.91</v>
      </c>
      <c r="N5" s="36">
        <f>20459+2849.2+960+900+310+210</f>
        <v>25688.2</v>
      </c>
      <c r="O5" s="270">
        <f>SUM(C5:N5)</f>
        <v>344746.22999999992</v>
      </c>
      <c r="P5" s="290">
        <f t="shared" ref="P5:P27" si="0">O5/$O$23</f>
        <v>0.13648368681628936</v>
      </c>
    </row>
    <row r="6" spans="1:17" s="27" customFormat="1" ht="18" customHeight="1" x14ac:dyDescent="0.2">
      <c r="A6" s="25">
        <v>2</v>
      </c>
      <c r="B6" s="28" t="s">
        <v>19</v>
      </c>
      <c r="C6" s="35">
        <f>16224.19+1050+52+5986.22+92.88+327.79</f>
        <v>23733.080000000005</v>
      </c>
      <c r="D6" s="36">
        <f>13997.75+3810+4990.6+73+112+352+350+1731.5</f>
        <v>25416.85</v>
      </c>
      <c r="E6" s="36">
        <f>11502.3+790+500+486+1950</f>
        <v>15228.3</v>
      </c>
      <c r="F6" s="36">
        <f>15955.54+834.6+175+350+250+5966.65+113</f>
        <v>23644.79</v>
      </c>
      <c r="G6" s="36">
        <f>10745.49+145+300+226</f>
        <v>11416.49</v>
      </c>
      <c r="H6" s="36">
        <f>9940.49+1926+4544</f>
        <v>16410.489999999998</v>
      </c>
      <c r="I6" s="36">
        <f>6424.95+539.4+275+8644.72+934+541</f>
        <v>17359.07</v>
      </c>
      <c r="J6" s="36">
        <f>5771+274.75+817.25</f>
        <v>6863</v>
      </c>
      <c r="K6" s="36">
        <f>20660.32+63.32+1115+849.2</f>
        <v>22687.84</v>
      </c>
      <c r="L6" s="36">
        <f>24643.7+4957.09+513.9+834.6</f>
        <v>30949.29</v>
      </c>
      <c r="M6" s="36">
        <f>4511+960+510+600+1150+6458.6</f>
        <v>14189.6</v>
      </c>
      <c r="N6" s="36">
        <f>20189</f>
        <v>20189</v>
      </c>
      <c r="O6" s="270">
        <f t="shared" ref="O6:O27" si="1">SUM(C6:N6)</f>
        <v>228087.80000000005</v>
      </c>
      <c r="P6" s="290">
        <f t="shared" si="0"/>
        <v>9.0299069729686265E-2</v>
      </c>
    </row>
    <row r="7" spans="1:17" s="27" customFormat="1" ht="18" customHeight="1" x14ac:dyDescent="0.2">
      <c r="A7" s="25">
        <v>3</v>
      </c>
      <c r="B7" s="28" t="s">
        <v>20</v>
      </c>
      <c r="C7" s="35">
        <v>2320</v>
      </c>
      <c r="D7" s="36">
        <f>7658.95+3331.32</f>
        <v>10990.27</v>
      </c>
      <c r="E7" s="36">
        <f>4262.25+2821+642</f>
        <v>7725.25</v>
      </c>
      <c r="F7" s="36">
        <f>9412.01+165+1284.5</f>
        <v>10861.51</v>
      </c>
      <c r="G7" s="36">
        <f>4625.1+2766.03+260+144.45</f>
        <v>7795.5800000000008</v>
      </c>
      <c r="H7" s="36">
        <f>2342.08+26+43+10378.12</f>
        <v>12789.2</v>
      </c>
      <c r="I7" s="36">
        <f>8854.66+323.64</f>
        <v>9178.2999999999993</v>
      </c>
      <c r="J7" s="36">
        <f>1295.5+175.58</f>
        <v>1471.08</v>
      </c>
      <c r="K7" s="36">
        <f>9809.75+84</f>
        <v>9893.75</v>
      </c>
      <c r="L7" s="36">
        <f>958.53+647+315+8017.42+513.6</f>
        <v>10451.550000000001</v>
      </c>
      <c r="M7" s="36">
        <f>1550+3143.12+3660</f>
        <v>8353.119999999999</v>
      </c>
      <c r="N7" s="36">
        <f>6682.25+120+4925+723.72</f>
        <v>12450.97</v>
      </c>
      <c r="O7" s="270">
        <f t="shared" si="1"/>
        <v>104280.58</v>
      </c>
      <c r="P7" s="290">
        <f t="shared" si="0"/>
        <v>4.1284274585804789E-2</v>
      </c>
    </row>
    <row r="8" spans="1:17" s="27" customFormat="1" ht="18" customHeight="1" x14ac:dyDescent="0.2">
      <c r="A8" s="25">
        <v>4</v>
      </c>
      <c r="B8" s="28" t="s">
        <v>21</v>
      </c>
      <c r="C8" s="35">
        <f>9332.05+2209.55+9280.75</f>
        <v>20822.349999999999</v>
      </c>
      <c r="D8" s="36">
        <f>10159.6+2107+1760+6503.8+1206.2+204+4100+500+15298.49+425</f>
        <v>42264.090000000004</v>
      </c>
      <c r="E8" s="36">
        <f>7112.4+750</f>
        <v>7862.4</v>
      </c>
      <c r="F8" s="36">
        <f>27217.75+843+450+600+642+186.09+3450+790+77.04</f>
        <v>34255.879999999997</v>
      </c>
      <c r="G8" s="36">
        <v>4794</v>
      </c>
      <c r="H8" s="36">
        <f>15260.9+1170+3960+100.5+1925+7153.45+4000</f>
        <v>33569.850000000006</v>
      </c>
      <c r="I8" s="36">
        <f>19294+539.4</f>
        <v>19833.400000000001</v>
      </c>
      <c r="J8" s="36">
        <f>4867.52+2450+15608.2+8177+600</f>
        <v>31702.720000000001</v>
      </c>
      <c r="K8" s="36">
        <v>4077.3</v>
      </c>
      <c r="L8" s="36">
        <f>11230.5+1090+513.6+265</f>
        <v>13099.1</v>
      </c>
      <c r="M8" s="36">
        <f>14679.51+2596+350+84</f>
        <v>17709.510000000002</v>
      </c>
      <c r="N8" s="36">
        <f>3388.98+2412.4+1290+200</f>
        <v>7291.38</v>
      </c>
      <c r="O8" s="270">
        <f t="shared" si="1"/>
        <v>237281.98</v>
      </c>
      <c r="P8" s="290">
        <f t="shared" si="0"/>
        <v>9.3939009704236784E-2</v>
      </c>
    </row>
    <row r="9" spans="1:17" s="27" customFormat="1" ht="18" customHeight="1" x14ac:dyDescent="0.2">
      <c r="A9" s="25">
        <v>5</v>
      </c>
      <c r="B9" s="28" t="s">
        <v>2</v>
      </c>
      <c r="C9" s="35">
        <v>5908.3</v>
      </c>
      <c r="D9" s="36">
        <f>843+590+8363.6+1584.25+500+1050+1284</f>
        <v>14214.85</v>
      </c>
      <c r="E9" s="36">
        <f>4666.31+57.89+1498+31.66+1498</f>
        <v>7751.8600000000006</v>
      </c>
      <c r="F9" s="36">
        <f>4676+77.04+154.08+260+550</f>
        <v>5717.12</v>
      </c>
      <c r="G9" s="36">
        <f>2886.2+2250</f>
        <v>5136.2</v>
      </c>
      <c r="H9" s="36">
        <f>5902.8+215.76+201+4885.32</f>
        <v>11204.880000000001</v>
      </c>
      <c r="I9" s="36">
        <f>9620.59+210+4077.6</f>
        <v>13908.19</v>
      </c>
      <c r="J9" s="36">
        <f>3481+60+60+3762</f>
        <v>7363</v>
      </c>
      <c r="K9" s="36">
        <v>11665.35</v>
      </c>
      <c r="L9" s="36">
        <f>10124.42+24+500+252</f>
        <v>10900.42</v>
      </c>
      <c r="M9" s="36">
        <f>6026.35+5705.08+900+1160</f>
        <v>13791.43</v>
      </c>
      <c r="N9" s="36">
        <f>7619.64+330+550+80+420</f>
        <v>8999.64</v>
      </c>
      <c r="O9" s="270">
        <f t="shared" si="1"/>
        <v>116561.24</v>
      </c>
      <c r="P9" s="290">
        <f t="shared" si="0"/>
        <v>4.614613994496284E-2</v>
      </c>
    </row>
    <row r="10" spans="1:17" s="27" customFormat="1" ht="18" customHeight="1" x14ac:dyDescent="0.2">
      <c r="A10" s="25">
        <v>6</v>
      </c>
      <c r="B10" s="28" t="s">
        <v>3</v>
      </c>
      <c r="C10" s="35">
        <f>790+102.1+136</f>
        <v>1028.0999999999999</v>
      </c>
      <c r="D10" s="36">
        <f>5486.62+100+411+214</f>
        <v>6211.62</v>
      </c>
      <c r="E10" s="36">
        <f>1720+1000</f>
        <v>2720</v>
      </c>
      <c r="F10" s="36">
        <v>4761.99</v>
      </c>
      <c r="G10" s="36">
        <f>12795.19+30+550+50+500+165+285</f>
        <v>14375.19</v>
      </c>
      <c r="H10" s="36">
        <f>6079.97+57</f>
        <v>6136.97</v>
      </c>
      <c r="I10" s="36">
        <f>4380.69+1498+250</f>
        <v>6128.69</v>
      </c>
      <c r="J10" s="36">
        <f>4624.35+2580.38</f>
        <v>7204.7300000000005</v>
      </c>
      <c r="K10" s="36">
        <v>11.25</v>
      </c>
      <c r="L10" s="36">
        <f>6226+114</f>
        <v>6340</v>
      </c>
      <c r="M10" s="36">
        <f>16613.15+94.98</f>
        <v>16708.13</v>
      </c>
      <c r="N10" s="36">
        <v>0</v>
      </c>
      <c r="O10" s="270">
        <f t="shared" si="1"/>
        <v>71626.670000000013</v>
      </c>
      <c r="P10" s="290">
        <f t="shared" si="0"/>
        <v>2.8356719074125084E-2</v>
      </c>
    </row>
    <row r="11" spans="1:17" s="27" customFormat="1" ht="18" customHeight="1" x14ac:dyDescent="0.2">
      <c r="A11" s="25">
        <v>7</v>
      </c>
      <c r="B11" s="28" t="s">
        <v>4</v>
      </c>
      <c r="C11" s="35">
        <v>4913.3500000000004</v>
      </c>
      <c r="D11" s="36">
        <f>5462.71+408+1400+1400+425+588</f>
        <v>9683.7099999999991</v>
      </c>
      <c r="E11" s="36">
        <f>5461.35+320+1200</f>
        <v>6981.35</v>
      </c>
      <c r="F11" s="36">
        <f>14700.7+3240</f>
        <v>17940.7</v>
      </c>
      <c r="G11" s="36">
        <f>9725.55+129.97+100+2200</f>
        <v>12155.519999999999</v>
      </c>
      <c r="H11" s="36">
        <f>281.58+13535.18+1425+556.4</f>
        <v>15798.16</v>
      </c>
      <c r="I11" s="36">
        <f>13710+657+1250+1600</f>
        <v>17217</v>
      </c>
      <c r="J11" s="36">
        <f>1927.88+145+14420.44+2020</f>
        <v>18513.32</v>
      </c>
      <c r="K11" s="36">
        <f>6769+800+630</f>
        <v>8199</v>
      </c>
      <c r="L11" s="36">
        <f>11593.89+30+1645</f>
        <v>13268.89</v>
      </c>
      <c r="M11" s="36">
        <v>0</v>
      </c>
      <c r="N11" s="36">
        <f>19389.29+295+310+270+410+463.86+95+165+450+360+1050+1475+450+12611.55</f>
        <v>37794.699999999997</v>
      </c>
      <c r="O11" s="270">
        <f t="shared" si="1"/>
        <v>162465.69999999998</v>
      </c>
      <c r="P11" s="290">
        <f t="shared" si="0"/>
        <v>6.431953648104935E-2</v>
      </c>
    </row>
    <row r="12" spans="1:17" s="27" customFormat="1" ht="18" customHeight="1" x14ac:dyDescent="0.2">
      <c r="A12" s="25">
        <v>8</v>
      </c>
      <c r="B12" s="28" t="s">
        <v>5</v>
      </c>
      <c r="C12" s="35">
        <v>10133.98</v>
      </c>
      <c r="D12" s="36">
        <f>9268.01+1000+250+722.25+11584.26+590</f>
        <v>23414.52</v>
      </c>
      <c r="E12" s="36">
        <f>6852+1200+750+770.4</f>
        <v>9572.4</v>
      </c>
      <c r="F12" s="36">
        <f>20371.1+275+341.52</f>
        <v>20987.62</v>
      </c>
      <c r="G12" s="36">
        <f>14072.93+550+1275+120.26</f>
        <v>16018.19</v>
      </c>
      <c r="H12" s="36">
        <f>16643+80+385+900+278</f>
        <v>18286</v>
      </c>
      <c r="I12" s="36">
        <f>24992.32+323.64+790-500</f>
        <v>25605.96</v>
      </c>
      <c r="J12" s="36">
        <f>17175.3+1620+381.82+1500+2320</f>
        <v>22997.119999999999</v>
      </c>
      <c r="K12" s="36">
        <f>17126.25+1000+1840</f>
        <v>19966.25</v>
      </c>
      <c r="L12" s="36">
        <f>39631.45+300+385+139.1+410+107</f>
        <v>40972.549999999996</v>
      </c>
      <c r="M12" s="36">
        <f>1909</f>
        <v>1909</v>
      </c>
      <c r="N12" s="36">
        <f>22463.42+2000+63.32</f>
        <v>24526.739999999998</v>
      </c>
      <c r="O12" s="270">
        <f t="shared" si="1"/>
        <v>234390.33</v>
      </c>
      <c r="P12" s="290">
        <f t="shared" si="0"/>
        <v>9.2794216756153416E-2</v>
      </c>
    </row>
    <row r="13" spans="1:17" s="27" customFormat="1" ht="18" customHeight="1" x14ac:dyDescent="0.2">
      <c r="A13" s="25">
        <v>9</v>
      </c>
      <c r="B13" s="28" t="s">
        <v>6</v>
      </c>
      <c r="C13" s="35">
        <v>9343.2000000000007</v>
      </c>
      <c r="D13" s="36">
        <f>7042.2+6439.93+150+150+2198.76+1753.53+400+700+1050</f>
        <v>19884.420000000002</v>
      </c>
      <c r="E13" s="36">
        <f>3323+1185+500+445.12+410+175.1+1100+240</f>
        <v>7378.22</v>
      </c>
      <c r="F13" s="36">
        <f>10050.52+295+64.2+154.08</f>
        <v>10563.800000000001</v>
      </c>
      <c r="G13" s="36">
        <v>0</v>
      </c>
      <c r="H13" s="36">
        <f>132.84+9821.65+333.84</f>
        <v>10288.33</v>
      </c>
      <c r="I13" s="36">
        <v>20139.2</v>
      </c>
      <c r="J13" s="36">
        <f>11422.16+270+270+31.66</f>
        <v>11993.82</v>
      </c>
      <c r="K13" s="36">
        <f>2400.99+30.5</f>
        <v>2431.4899999999998</v>
      </c>
      <c r="L13" s="36">
        <f>9624.92+410.88</f>
        <v>10035.799999999999</v>
      </c>
      <c r="M13" s="36">
        <f>6288.28+164+360+2017.3</f>
        <v>8829.58</v>
      </c>
      <c r="N13" s="36">
        <f>3461+90</f>
        <v>3551</v>
      </c>
      <c r="O13" s="270">
        <f t="shared" si="1"/>
        <v>114438.86000000003</v>
      </c>
      <c r="P13" s="290">
        <f t="shared" si="0"/>
        <v>4.5305897987204073E-2</v>
      </c>
    </row>
    <row r="14" spans="1:17" s="27" customFormat="1" ht="18" customHeight="1" x14ac:dyDescent="0.2">
      <c r="A14" s="25">
        <v>10</v>
      </c>
      <c r="B14" s="28" t="s">
        <v>7</v>
      </c>
      <c r="C14" s="35">
        <v>5958.45</v>
      </c>
      <c r="D14" s="36">
        <f>4181.55+545.22+246+2721.8</f>
        <v>7694.5700000000006</v>
      </c>
      <c r="E14" s="36">
        <f>6026.41+150</f>
        <v>6176.41</v>
      </c>
      <c r="F14" s="36">
        <v>8946.1</v>
      </c>
      <c r="G14" s="36">
        <f>4951.6+110+410</f>
        <v>5471.6</v>
      </c>
      <c r="H14" s="36">
        <f>7006.09+5217.97+4730.17</f>
        <v>16954.230000000003</v>
      </c>
      <c r="I14" s="36">
        <v>0</v>
      </c>
      <c r="J14" s="36">
        <f>14342.8+3981.23</f>
        <v>18324.03</v>
      </c>
      <c r="K14" s="36">
        <v>0</v>
      </c>
      <c r="L14" s="36">
        <f>2320+986.56</f>
        <v>3306.56</v>
      </c>
      <c r="M14" s="36">
        <f>3960+394</f>
        <v>4354</v>
      </c>
      <c r="N14" s="36">
        <f>3188.72+1060+210</f>
        <v>4458.7199999999993</v>
      </c>
      <c r="O14" s="270">
        <f t="shared" si="1"/>
        <v>81644.67</v>
      </c>
      <c r="P14" s="290">
        <f t="shared" si="0"/>
        <v>3.2322806171076329E-2</v>
      </c>
    </row>
    <row r="15" spans="1:17" s="27" customFormat="1" ht="18" customHeight="1" x14ac:dyDescent="0.2">
      <c r="A15" s="25">
        <v>11</v>
      </c>
      <c r="B15" s="28" t="s">
        <v>8</v>
      </c>
      <c r="C15" s="35">
        <f>3060.46+840</f>
        <v>3900.46</v>
      </c>
      <c r="D15" s="36">
        <f>4849.75+1853.5+2268+150</f>
        <v>9121.25</v>
      </c>
      <c r="E15" s="36">
        <f>2260+400+2000+120+790</f>
        <v>5570</v>
      </c>
      <c r="F15" s="36">
        <f>12052.3+790+490</f>
        <v>13332.3</v>
      </c>
      <c r="G15" s="36">
        <f>3345.35+2452+60+210+1050</f>
        <v>7117.35</v>
      </c>
      <c r="H15" s="36">
        <f>7285.3+1275+400+58+24.1+165</f>
        <v>9207.4</v>
      </c>
      <c r="I15" s="36">
        <f>3311.4+405+1200+309</f>
        <v>5225.3999999999996</v>
      </c>
      <c r="J15" s="36">
        <f>5549.2+3955</f>
        <v>9504.2000000000007</v>
      </c>
      <c r="K15" s="36">
        <f>2479.52+2135+2799.4</f>
        <v>7413.92</v>
      </c>
      <c r="L15" s="36">
        <f>3936+11.25+16.05+4057.65</f>
        <v>8020.9500000000007</v>
      </c>
      <c r="M15" s="36">
        <f>13388.16+250+525</f>
        <v>14163.16</v>
      </c>
      <c r="N15" s="36">
        <v>6808.44</v>
      </c>
      <c r="O15" s="270">
        <f t="shared" si="1"/>
        <v>99384.83</v>
      </c>
      <c r="P15" s="290">
        <f t="shared" si="0"/>
        <v>3.9346066270282823E-2</v>
      </c>
    </row>
    <row r="16" spans="1:17" s="27" customFormat="1" ht="18" customHeight="1" x14ac:dyDescent="0.2">
      <c r="A16" s="25">
        <v>12</v>
      </c>
      <c r="B16" s="28" t="s">
        <v>9</v>
      </c>
      <c r="C16" s="35">
        <f>6775.49+700+350+199.02+300</f>
        <v>8324.51</v>
      </c>
      <c r="D16" s="36">
        <f>5701.95</f>
        <v>5701.95</v>
      </c>
      <c r="E16" s="36">
        <f>2485.6+1400+490+125.19+400+410</f>
        <v>5310.79</v>
      </c>
      <c r="F16" s="36">
        <f>6897.66+604.72+77.04</f>
        <v>7579.42</v>
      </c>
      <c r="G16" s="36">
        <f>6694.54+2372.04+40+425</f>
        <v>9531.58</v>
      </c>
      <c r="H16" s="36">
        <f>7074.83+120.62+580</f>
        <v>7775.45</v>
      </c>
      <c r="I16" s="36">
        <f>5458.91+1303+126</f>
        <v>6887.91</v>
      </c>
      <c r="J16" s="36">
        <f>7127.77+300+432+749</f>
        <v>8608.77</v>
      </c>
      <c r="K16" s="36">
        <f>2595.13+750+240</f>
        <v>3585.13</v>
      </c>
      <c r="L16" s="36">
        <f>7225.92+375+84+790</f>
        <v>8474.92</v>
      </c>
      <c r="M16" s="36">
        <f>7283.17+560+84</f>
        <v>7927.17</v>
      </c>
      <c r="N16" s="36">
        <f>6520.39+305+210+31.66+84.53</f>
        <v>7151.58</v>
      </c>
      <c r="O16" s="270">
        <f t="shared" si="1"/>
        <v>86859.180000000008</v>
      </c>
      <c r="P16" s="290">
        <f t="shared" si="0"/>
        <v>3.4387210326389091E-2</v>
      </c>
    </row>
    <row r="17" spans="1:16" s="27" customFormat="1" ht="18" customHeight="1" x14ac:dyDescent="0.2">
      <c r="A17" s="25">
        <v>13</v>
      </c>
      <c r="B17" s="28" t="s">
        <v>10</v>
      </c>
      <c r="C17" s="35">
        <v>0</v>
      </c>
      <c r="D17" s="36">
        <f>5622.25+800+500+700+800+2500</f>
        <v>10922.25</v>
      </c>
      <c r="E17" s="36">
        <f>9902.5+820+480+100+95.6+278.2+690</f>
        <v>12366.300000000001</v>
      </c>
      <c r="F17" s="36">
        <f>640+1743.92+241.24+2235.4+55</f>
        <v>4915.5599999999995</v>
      </c>
      <c r="G17" s="36">
        <f>11739.03+110+50+350+275+290+1275+166.92+490+105+308.16</f>
        <v>15159.11</v>
      </c>
      <c r="H17" s="36">
        <v>41.24</v>
      </c>
      <c r="I17" s="36">
        <f>5242.42+350+400+960+232</f>
        <v>7184.42</v>
      </c>
      <c r="J17" s="36">
        <f>6491.92+299.6+290</f>
        <v>7081.52</v>
      </c>
      <c r="K17" s="36">
        <f>3496.32</f>
        <v>3496.32</v>
      </c>
      <c r="L17" s="36">
        <f>4921.04+1400</f>
        <v>6321.04</v>
      </c>
      <c r="M17" s="36">
        <f>14091.34+68</f>
        <v>14159.34</v>
      </c>
      <c r="N17" s="36">
        <v>2770</v>
      </c>
      <c r="O17" s="270">
        <f t="shared" si="1"/>
        <v>84417.099999999991</v>
      </c>
      <c r="P17" s="290">
        <f t="shared" si="0"/>
        <v>3.3420400386508599E-2</v>
      </c>
    </row>
    <row r="18" spans="1:16" s="27" customFormat="1" ht="18" customHeight="1" x14ac:dyDescent="0.2">
      <c r="A18" s="25">
        <v>14</v>
      </c>
      <c r="B18" s="28" t="s">
        <v>11</v>
      </c>
      <c r="C18" s="35">
        <f>750+350+163.2</f>
        <v>1263.2</v>
      </c>
      <c r="D18" s="36">
        <f>1011+6719.29+272.61+800</f>
        <v>8802.9</v>
      </c>
      <c r="E18" s="36">
        <f>5858.44+100+490</f>
        <v>6448.44</v>
      </c>
      <c r="F18" s="36">
        <v>0</v>
      </c>
      <c r="G18" s="36">
        <v>3301.1</v>
      </c>
      <c r="H18" s="36">
        <v>5992.3</v>
      </c>
      <c r="I18" s="36">
        <f>4760.81+281</f>
        <v>5041.8100000000004</v>
      </c>
      <c r="J18" s="36">
        <f>5088+129.04</f>
        <v>5217.04</v>
      </c>
      <c r="K18" s="36">
        <f>6275.3+150+90+100+560</f>
        <v>7175.3</v>
      </c>
      <c r="L18" s="36">
        <v>1274.0899999999999</v>
      </c>
      <c r="M18" s="36">
        <f>11989.47+139.1-300</f>
        <v>11828.57</v>
      </c>
      <c r="N18" s="36">
        <v>0</v>
      </c>
      <c r="O18" s="270">
        <f t="shared" si="1"/>
        <v>56344.75</v>
      </c>
      <c r="P18" s="290">
        <f t="shared" si="0"/>
        <v>2.2306666595722086E-2</v>
      </c>
    </row>
    <row r="19" spans="1:16" s="27" customFormat="1" ht="18" customHeight="1" x14ac:dyDescent="0.2">
      <c r="A19" s="25">
        <v>15</v>
      </c>
      <c r="B19" s="28" t="s">
        <v>12</v>
      </c>
      <c r="C19" s="35">
        <v>8082.64</v>
      </c>
      <c r="D19" s="36">
        <f>29398.02+150+7346+1050+700+417.3+417.3+250</f>
        <v>39728.62000000001</v>
      </c>
      <c r="E19" s="36">
        <f>13298.69+750+642+16984.4+642</f>
        <v>32317.090000000004</v>
      </c>
      <c r="F19" s="36">
        <f>9484.65+790</f>
        <v>10274.65</v>
      </c>
      <c r="G19" s="36">
        <v>4489.12</v>
      </c>
      <c r="H19" s="36">
        <f>31448.74+210+5654.18+550</f>
        <v>37862.92</v>
      </c>
      <c r="I19" s="36">
        <f>16769.55+7634</f>
        <v>24403.55</v>
      </c>
      <c r="J19" s="36">
        <f>12627.42+3621</f>
        <v>16248.42</v>
      </c>
      <c r="K19" s="36">
        <f>11443.26+20389.84</f>
        <v>31833.1</v>
      </c>
      <c r="L19" s="36">
        <f>14368.42+9668.9</f>
        <v>24037.32</v>
      </c>
      <c r="M19" s="36">
        <v>13545.62</v>
      </c>
      <c r="N19" s="36">
        <v>10387.299999999999</v>
      </c>
      <c r="O19" s="270">
        <f t="shared" si="1"/>
        <v>253210.34999999998</v>
      </c>
      <c r="P19" s="290">
        <f t="shared" si="0"/>
        <v>0.10024498921436507</v>
      </c>
    </row>
    <row r="20" spans="1:16" s="27" customFormat="1" ht="18" customHeight="1" x14ac:dyDescent="0.2">
      <c r="A20" s="25">
        <v>16</v>
      </c>
      <c r="B20" s="29" t="s">
        <v>13</v>
      </c>
      <c r="C20" s="35">
        <v>0</v>
      </c>
      <c r="D20" s="36">
        <f>790+340</f>
        <v>1130</v>
      </c>
      <c r="E20" s="36">
        <v>0</v>
      </c>
      <c r="F20" s="36">
        <v>0</v>
      </c>
      <c r="G20" s="36">
        <v>5916.15</v>
      </c>
      <c r="H20" s="36">
        <f>257.8+7278.71</f>
        <v>7536.51</v>
      </c>
      <c r="I20" s="36">
        <f>3543.8+1400</f>
        <v>4943.8</v>
      </c>
      <c r="J20" s="36">
        <v>3139.4</v>
      </c>
      <c r="K20" s="36">
        <f>6298.62+120</f>
        <v>6418.62</v>
      </c>
      <c r="L20" s="36">
        <f>3557.53+381.82+450</f>
        <v>4389.3500000000004</v>
      </c>
      <c r="M20" s="36">
        <f>3553+4463.04</f>
        <v>8016.04</v>
      </c>
      <c r="N20" s="36">
        <v>5864.63</v>
      </c>
      <c r="O20" s="270">
        <f t="shared" si="1"/>
        <v>47354.5</v>
      </c>
      <c r="P20" s="290">
        <f t="shared" si="0"/>
        <v>1.874746171217587E-2</v>
      </c>
    </row>
    <row r="21" spans="1:16" s="27" customFormat="1" ht="18" customHeight="1" x14ac:dyDescent="0.2">
      <c r="A21" s="25">
        <v>17</v>
      </c>
      <c r="B21" s="28" t="s">
        <v>14</v>
      </c>
      <c r="C21" s="35">
        <f>15822.93+133.8</f>
        <v>15956.73</v>
      </c>
      <c r="D21" s="36">
        <f>15930+3713.45+900</f>
        <v>20543.45</v>
      </c>
      <c r="E21" s="36">
        <f>8285.29+80+100</f>
        <v>8465.2900000000009</v>
      </c>
      <c r="F21" s="36">
        <f>4413.01+110</f>
        <v>4523.01</v>
      </c>
      <c r="G21" s="36">
        <f>7097.3+240.75</f>
        <v>7338.05</v>
      </c>
      <c r="H21" s="36">
        <f>8550+2900+110</f>
        <v>11560</v>
      </c>
      <c r="I21" s="36">
        <f>8676.75+871.06+34</f>
        <v>9581.81</v>
      </c>
      <c r="J21" s="36">
        <f>1804+4172.18</f>
        <v>5976.18</v>
      </c>
      <c r="K21" s="36">
        <f>6680.9+60</f>
        <v>6740.9</v>
      </c>
      <c r="L21" s="36">
        <f>12099.79+60</f>
        <v>12159.79</v>
      </c>
      <c r="M21" s="36">
        <f>11114.15+60+3019.24+60</f>
        <v>14253.39</v>
      </c>
      <c r="N21" s="36">
        <f>13452.18+60</f>
        <v>13512.18</v>
      </c>
      <c r="O21" s="270">
        <f t="shared" si="1"/>
        <v>130610.78</v>
      </c>
      <c r="P21" s="290">
        <f t="shared" si="0"/>
        <v>5.1708297991688773E-2</v>
      </c>
    </row>
    <row r="22" spans="1:16" s="27" customFormat="1" ht="18" customHeight="1" x14ac:dyDescent="0.2">
      <c r="A22" s="25">
        <v>18</v>
      </c>
      <c r="B22" s="28" t="s">
        <v>15</v>
      </c>
      <c r="C22" s="35">
        <f>7333.46+408+1800</f>
        <v>9541.4599999999991</v>
      </c>
      <c r="D22" s="36">
        <v>0</v>
      </c>
      <c r="E22" s="36">
        <f>3016.8+143.4+500+140</f>
        <v>3800.2000000000003</v>
      </c>
      <c r="F22" s="36">
        <v>5202</v>
      </c>
      <c r="G22" s="36">
        <f>4318.84+328</f>
        <v>4646.84</v>
      </c>
      <c r="H22" s="36">
        <f>400+241.24+2807.23</f>
        <v>3448.4700000000003</v>
      </c>
      <c r="I22" s="36">
        <f>5801+154.08+80+110+150</f>
        <v>6295.08</v>
      </c>
      <c r="J22" s="36">
        <v>0</v>
      </c>
      <c r="K22" s="36">
        <v>6496.16</v>
      </c>
      <c r="L22" s="36">
        <f>14653.36+1642.4</f>
        <v>16295.76</v>
      </c>
      <c r="M22" s="36">
        <f>16218.76+145+120</f>
        <v>16483.760000000002</v>
      </c>
      <c r="N22" s="36">
        <v>0</v>
      </c>
      <c r="O22" s="270">
        <f t="shared" si="1"/>
        <v>72209.73000000001</v>
      </c>
      <c r="P22" s="290">
        <f t="shared" si="0"/>
        <v>2.8587550252279246E-2</v>
      </c>
    </row>
    <row r="23" spans="1:16" s="134" customFormat="1" ht="21.75" customHeight="1" x14ac:dyDescent="0.2">
      <c r="A23" s="45">
        <v>5.4166666666666669E-2</v>
      </c>
      <c r="B23" s="131" t="s">
        <v>22</v>
      </c>
      <c r="C23" s="132">
        <f t="shared" ref="C23:N23" si="2">SUM(C5:C22)</f>
        <v>166889.14000000004</v>
      </c>
      <c r="D23" s="133">
        <f t="shared" si="2"/>
        <v>296408.39</v>
      </c>
      <c r="E23" s="133">
        <f t="shared" si="2"/>
        <v>159250.28000000003</v>
      </c>
      <c r="F23" s="133">
        <f t="shared" si="2"/>
        <v>224351.21</v>
      </c>
      <c r="G23" s="133">
        <f t="shared" si="2"/>
        <v>143823.47</v>
      </c>
      <c r="H23" s="133">
        <f t="shared" si="2"/>
        <v>250236.12000000002</v>
      </c>
      <c r="I23" s="133">
        <f t="shared" si="2"/>
        <v>198933.59</v>
      </c>
      <c r="J23" s="133">
        <f t="shared" si="2"/>
        <v>224204.00999999998</v>
      </c>
      <c r="K23" s="133">
        <f t="shared" si="2"/>
        <v>214251.34000000003</v>
      </c>
      <c r="L23" s="133">
        <f t="shared" si="2"/>
        <v>248254.92000000004</v>
      </c>
      <c r="M23" s="133">
        <f t="shared" si="2"/>
        <v>207868.33000000002</v>
      </c>
      <c r="N23" s="133">
        <f t="shared" si="2"/>
        <v>191444.47999999998</v>
      </c>
      <c r="O23" s="53">
        <f t="shared" si="1"/>
        <v>2525915.2800000003</v>
      </c>
      <c r="P23" s="291">
        <f t="shared" si="0"/>
        <v>1</v>
      </c>
    </row>
    <row r="24" spans="1:16" s="27" customFormat="1" ht="18" customHeight="1" x14ac:dyDescent="0.2">
      <c r="A24" s="30">
        <v>19</v>
      </c>
      <c r="B24" s="31" t="s">
        <v>16</v>
      </c>
      <c r="C24" s="35">
        <v>3231.4</v>
      </c>
      <c r="D24" s="36">
        <f>17431.01+498.44+3039.52+528</f>
        <v>21496.969999999998</v>
      </c>
      <c r="E24" s="36">
        <f>4669+204+1691.08</f>
        <v>6564.08</v>
      </c>
      <c r="F24" s="36">
        <v>6084.39</v>
      </c>
      <c r="G24" s="36">
        <v>6410.32</v>
      </c>
      <c r="H24" s="36">
        <v>3799.9</v>
      </c>
      <c r="I24" s="36">
        <f>2732.1+6033.73+324.96</f>
        <v>9090.7899999999991</v>
      </c>
      <c r="J24" s="36">
        <f>6132.87+1300+6082.42+548+1300+658+1620</f>
        <v>17641.29</v>
      </c>
      <c r="K24" s="36">
        <f>6160.56+350+2800+3153.12+5943</f>
        <v>18406.68</v>
      </c>
      <c r="L24" s="36">
        <f>16721.1+800+2152+231.12</f>
        <v>19904.219999999998</v>
      </c>
      <c r="M24" s="36">
        <f>6474.94+5415.24+1200+12913.6+1616+1800</f>
        <v>29419.78</v>
      </c>
      <c r="N24" s="36">
        <f>4762.61+3878.31</f>
        <v>8640.92</v>
      </c>
      <c r="O24" s="270">
        <f t="shared" si="1"/>
        <v>150690.74000000002</v>
      </c>
      <c r="P24" s="290">
        <f t="shared" si="0"/>
        <v>5.9657875778003133E-2</v>
      </c>
    </row>
    <row r="25" spans="1:16" s="27" customFormat="1" ht="18" customHeight="1" x14ac:dyDescent="0.2">
      <c r="A25" s="30">
        <v>20</v>
      </c>
      <c r="B25" s="28" t="s">
        <v>17</v>
      </c>
      <c r="C25" s="35">
        <v>0</v>
      </c>
      <c r="D25" s="36">
        <v>0</v>
      </c>
      <c r="E25" s="36">
        <v>0</v>
      </c>
      <c r="F25" s="36">
        <v>0</v>
      </c>
      <c r="G25" s="36">
        <v>0</v>
      </c>
      <c r="H25" s="36">
        <f>2247+138.03</f>
        <v>2385.0300000000002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270">
        <f t="shared" si="1"/>
        <v>2385.0300000000002</v>
      </c>
      <c r="P25" s="290">
        <f t="shared" si="0"/>
        <v>9.4422406756255106E-4</v>
      </c>
    </row>
    <row r="26" spans="1:16" s="134" customFormat="1" ht="19.5" customHeight="1" x14ac:dyDescent="0.2">
      <c r="A26" s="49" t="s">
        <v>55</v>
      </c>
      <c r="B26" s="136" t="s">
        <v>23</v>
      </c>
      <c r="C26" s="137">
        <f>C24+C25</f>
        <v>3231.4</v>
      </c>
      <c r="D26" s="138">
        <f t="shared" ref="D26:N26" si="3">D24+D25</f>
        <v>21496.969999999998</v>
      </c>
      <c r="E26" s="138">
        <f t="shared" si="3"/>
        <v>6564.08</v>
      </c>
      <c r="F26" s="138">
        <f t="shared" si="3"/>
        <v>6084.39</v>
      </c>
      <c r="G26" s="138">
        <f t="shared" si="3"/>
        <v>6410.32</v>
      </c>
      <c r="H26" s="138">
        <f t="shared" si="3"/>
        <v>6184.93</v>
      </c>
      <c r="I26" s="138">
        <f t="shared" si="3"/>
        <v>9090.7899999999991</v>
      </c>
      <c r="J26" s="138">
        <f t="shared" si="3"/>
        <v>17641.29</v>
      </c>
      <c r="K26" s="138">
        <f t="shared" si="3"/>
        <v>18406.68</v>
      </c>
      <c r="L26" s="138">
        <f t="shared" si="3"/>
        <v>19904.219999999998</v>
      </c>
      <c r="M26" s="138">
        <f t="shared" si="3"/>
        <v>29419.78</v>
      </c>
      <c r="N26" s="138">
        <f t="shared" si="3"/>
        <v>8640.92</v>
      </c>
      <c r="O26" s="275">
        <f t="shared" si="1"/>
        <v>153075.77000000002</v>
      </c>
      <c r="P26" s="292">
        <f t="shared" si="0"/>
        <v>6.0602099845565686E-2</v>
      </c>
    </row>
    <row r="27" spans="1:16" s="135" customFormat="1" ht="20.25" customHeight="1" x14ac:dyDescent="0.2">
      <c r="A27" s="156" t="s">
        <v>68</v>
      </c>
      <c r="B27" s="157" t="s">
        <v>25</v>
      </c>
      <c r="C27" s="158">
        <f>C23+C26</f>
        <v>170120.54000000004</v>
      </c>
      <c r="D27" s="159">
        <f>D23+D26</f>
        <v>317905.36</v>
      </c>
      <c r="E27" s="159">
        <f t="shared" ref="E27:N27" si="4">E23+E26</f>
        <v>165814.36000000002</v>
      </c>
      <c r="F27" s="159">
        <f t="shared" si="4"/>
        <v>230435.6</v>
      </c>
      <c r="G27" s="159">
        <f t="shared" si="4"/>
        <v>150233.79</v>
      </c>
      <c r="H27" s="159">
        <f t="shared" si="4"/>
        <v>256421.05000000002</v>
      </c>
      <c r="I27" s="159">
        <f t="shared" si="4"/>
        <v>208024.38</v>
      </c>
      <c r="J27" s="159">
        <f t="shared" si="4"/>
        <v>241845.3</v>
      </c>
      <c r="K27" s="159">
        <f t="shared" si="4"/>
        <v>232658.02000000002</v>
      </c>
      <c r="L27" s="159">
        <f t="shared" si="4"/>
        <v>268159.14</v>
      </c>
      <c r="M27" s="159">
        <f t="shared" si="4"/>
        <v>237288.11000000002</v>
      </c>
      <c r="N27" s="159">
        <f t="shared" si="4"/>
        <v>200085.4</v>
      </c>
      <c r="O27" s="159">
        <f t="shared" si="1"/>
        <v>2678991.0499999998</v>
      </c>
      <c r="P27" s="336">
        <f t="shared" si="0"/>
        <v>1.0606020998455654</v>
      </c>
    </row>
    <row r="28" spans="1:16" ht="14.25" customHeight="1" x14ac:dyDescent="0.2"/>
    <row r="29" spans="1:16" ht="14.25" customHeight="1" x14ac:dyDescent="0.2"/>
    <row r="30" spans="1:16" s="38" customFormat="1" ht="18.75" customHeight="1" x14ac:dyDescent="0.2">
      <c r="C30" s="39"/>
      <c r="F30" s="3"/>
      <c r="G30" s="3" t="s">
        <v>72</v>
      </c>
      <c r="H30" s="3"/>
      <c r="I30" s="3"/>
      <c r="J30" s="3"/>
      <c r="K30" s="3"/>
      <c r="L30" s="3" t="s">
        <v>50</v>
      </c>
      <c r="M30" s="8"/>
      <c r="O30" s="302"/>
      <c r="P30" s="338"/>
    </row>
    <row r="31" spans="1:16" s="38" customFormat="1" ht="18.75" customHeight="1" x14ac:dyDescent="0.2">
      <c r="C31" s="39"/>
      <c r="F31" s="3"/>
      <c r="G31" s="3" t="s">
        <v>51</v>
      </c>
      <c r="H31" s="3"/>
      <c r="I31" s="3"/>
      <c r="J31" s="3"/>
      <c r="K31" s="3"/>
      <c r="L31" s="3" t="s">
        <v>52</v>
      </c>
      <c r="M31" s="8"/>
      <c r="O31" s="302"/>
      <c r="P31" s="338"/>
    </row>
    <row r="32" spans="1:16" s="38" customFormat="1" ht="19.5" customHeight="1" x14ac:dyDescent="0.2">
      <c r="C32" s="39"/>
      <c r="F32" s="3"/>
      <c r="G32" s="3" t="s">
        <v>53</v>
      </c>
      <c r="H32" s="3"/>
      <c r="I32" s="3"/>
      <c r="J32" s="3"/>
      <c r="K32" s="3"/>
      <c r="L32" s="3" t="s">
        <v>54</v>
      </c>
      <c r="M32" s="8"/>
      <c r="O32" s="302"/>
      <c r="P32" s="338"/>
    </row>
    <row r="33" spans="6:13" ht="19.5" customHeight="1" x14ac:dyDescent="0.2">
      <c r="F33" s="23"/>
      <c r="G33" s="23"/>
      <c r="H33" s="23"/>
      <c r="I33" s="23"/>
      <c r="J33" s="23"/>
      <c r="K33" s="23"/>
      <c r="L33" s="23"/>
      <c r="M33" s="24"/>
    </row>
    <row r="34" spans="6:13" ht="19.5" customHeight="1" x14ac:dyDescent="0.2"/>
    <row r="35" spans="6:13" ht="19.5" customHeight="1" x14ac:dyDescent="0.2"/>
    <row r="36" spans="6:13" ht="19.5" customHeight="1" x14ac:dyDescent="0.2"/>
    <row r="37" spans="6:13" ht="19.5" customHeight="1" x14ac:dyDescent="0.2"/>
    <row r="38" spans="6:13" ht="19.5" customHeight="1" x14ac:dyDescent="0.2"/>
    <row r="39" spans="6:13" ht="19.5" customHeight="1" x14ac:dyDescent="0.2"/>
    <row r="40" spans="6:13" ht="19.5" customHeight="1" x14ac:dyDescent="0.2"/>
    <row r="41" spans="6:13" ht="19.5" customHeight="1" x14ac:dyDescent="0.2"/>
    <row r="42" spans="6:13" ht="19.5" customHeight="1" x14ac:dyDescent="0.2"/>
    <row r="43" spans="6:13" ht="19.5" customHeight="1" x14ac:dyDescent="0.2"/>
    <row r="44" spans="6:13" ht="19.5" customHeight="1" x14ac:dyDescent="0.2"/>
    <row r="45" spans="6:13" ht="19.5" customHeight="1" x14ac:dyDescent="0.2"/>
    <row r="46" spans="6:13" ht="19.5" customHeight="1" x14ac:dyDescent="0.2"/>
    <row r="47" spans="6:13" ht="19.5" customHeight="1" x14ac:dyDescent="0.2"/>
    <row r="48" spans="6:13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</sheetData>
  <printOptions horizontalCentered="1"/>
  <pageMargins left="0" right="0" top="0.74803149606299213" bottom="0.35433070866141736" header="0.11811023622047245" footer="0.11811023622047245"/>
  <pageSetup scale="9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showGridLines="0" workbookViewId="0">
      <selection activeCell="N26" sqref="N26"/>
    </sheetView>
  </sheetViews>
  <sheetFormatPr defaultRowHeight="17.25" customHeight="1" x14ac:dyDescent="0.2"/>
  <cols>
    <col min="1" max="1" width="5.125" style="27" customWidth="1"/>
    <col min="2" max="2" width="16.125" style="27" customWidth="1"/>
    <col min="3" max="14" width="8.625" style="27" customWidth="1"/>
    <col min="15" max="15" width="8.625" style="297" customWidth="1"/>
    <col min="16" max="16" width="12.625" style="329" customWidth="1"/>
    <col min="17" max="16384" width="9" style="27"/>
  </cols>
  <sheetData>
    <row r="1" spans="1:17" s="11" customFormat="1" ht="17.25" customHeight="1" x14ac:dyDescent="0.2">
      <c r="A1" s="100"/>
      <c r="B1" s="101"/>
      <c r="C1" s="9"/>
      <c r="D1" s="10" t="s">
        <v>64</v>
      </c>
      <c r="E1" s="9"/>
      <c r="F1" s="9"/>
      <c r="G1" s="9"/>
      <c r="H1" s="9"/>
      <c r="K1" s="10" t="str">
        <f>สรุปยอด!C3</f>
        <v xml:space="preserve"> ปีงบประมาณ   2561</v>
      </c>
      <c r="L1" s="9"/>
      <c r="M1" s="9"/>
      <c r="N1" s="9"/>
      <c r="O1" s="162"/>
      <c r="P1" s="321"/>
      <c r="Q1" s="60"/>
    </row>
    <row r="2" spans="1:17" s="11" customFormat="1" ht="17.25" customHeight="1" x14ac:dyDescent="0.2">
      <c r="A2" s="100"/>
      <c r="B2" s="101"/>
      <c r="C2" s="10" t="str">
        <f>'[1]1.1.ยา(ทั่วไป)'!C2</f>
        <v>จาก ฝ่ายเภสัชกรรมชุมชน  โรงพยาบาลกุมภวาปี</v>
      </c>
      <c r="D2" s="9"/>
      <c r="F2" s="9"/>
      <c r="G2" s="9"/>
      <c r="I2" s="9"/>
      <c r="J2" s="9"/>
      <c r="K2" s="9"/>
      <c r="M2" s="12"/>
      <c r="N2" s="13" t="str">
        <f>สรุปยอด!D4</f>
        <v xml:space="preserve">รายงานข้อมูลณ วันที่ 28/9/61 </v>
      </c>
      <c r="O2" s="165"/>
      <c r="P2" s="321"/>
      <c r="Q2" s="60"/>
    </row>
    <row r="3" spans="1:17" s="11" customFormat="1" ht="17.25" customHeight="1" x14ac:dyDescent="0.2">
      <c r="A3" s="100"/>
      <c r="B3" s="101"/>
      <c r="C3" s="10"/>
      <c r="D3" s="9"/>
      <c r="F3" s="9"/>
      <c r="G3" s="9"/>
      <c r="I3" s="9"/>
      <c r="J3" s="9"/>
      <c r="K3" s="9"/>
      <c r="M3" s="12"/>
      <c r="N3" s="13"/>
      <c r="O3" s="165"/>
      <c r="P3" s="321"/>
      <c r="Q3" s="60"/>
    </row>
    <row r="4" spans="1:17" ht="17.25" customHeight="1" x14ac:dyDescent="0.2">
      <c r="A4" s="25" t="s">
        <v>0</v>
      </c>
      <c r="B4" s="63" t="s">
        <v>1</v>
      </c>
      <c r="C4" s="64" t="s">
        <v>27</v>
      </c>
      <c r="D4" s="64" t="s">
        <v>28</v>
      </c>
      <c r="E4" s="64" t="s">
        <v>29</v>
      </c>
      <c r="F4" s="64" t="s">
        <v>30</v>
      </c>
      <c r="G4" s="64" t="s">
        <v>31</v>
      </c>
      <c r="H4" s="64" t="s">
        <v>32</v>
      </c>
      <c r="I4" s="64" t="s">
        <v>33</v>
      </c>
      <c r="J4" s="64" t="s">
        <v>34</v>
      </c>
      <c r="K4" s="64" t="s">
        <v>35</v>
      </c>
      <c r="L4" s="64" t="s">
        <v>36</v>
      </c>
      <c r="M4" s="64" t="s">
        <v>37</v>
      </c>
      <c r="N4" s="64" t="s">
        <v>38</v>
      </c>
      <c r="O4" s="169" t="s">
        <v>39</v>
      </c>
      <c r="P4" s="351" t="s">
        <v>40</v>
      </c>
    </row>
    <row r="5" spans="1:17" ht="17.25" customHeight="1" x14ac:dyDescent="0.2">
      <c r="A5" s="25">
        <v>1</v>
      </c>
      <c r="B5" s="26" t="s">
        <v>18</v>
      </c>
      <c r="C5" s="36">
        <v>7791.67</v>
      </c>
      <c r="D5" s="36">
        <v>9200</v>
      </c>
      <c r="E5" s="36">
        <v>8750</v>
      </c>
      <c r="F5" s="36">
        <v>11424</v>
      </c>
      <c r="G5" s="36">
        <f>642+1348</f>
        <v>1990</v>
      </c>
      <c r="H5" s="36">
        <f>2568+1280+580+720</f>
        <v>5148</v>
      </c>
      <c r="I5" s="36">
        <v>0</v>
      </c>
      <c r="J5" s="36">
        <v>1280</v>
      </c>
      <c r="K5" s="36">
        <v>0</v>
      </c>
      <c r="L5" s="36">
        <v>0</v>
      </c>
      <c r="M5" s="36">
        <v>0</v>
      </c>
      <c r="N5" s="36">
        <v>2506</v>
      </c>
      <c r="O5" s="270">
        <v>16991.669999999998</v>
      </c>
      <c r="P5" s="290">
        <f t="shared" ref="P5:P27" si="0">O5/$O$23</f>
        <v>0.83314267894503813</v>
      </c>
    </row>
    <row r="6" spans="1:17" ht="17.25" customHeight="1" x14ac:dyDescent="0.2">
      <c r="A6" s="25">
        <v>2</v>
      </c>
      <c r="B6" s="28" t="s">
        <v>19</v>
      </c>
      <c r="C6" s="36">
        <v>1045</v>
      </c>
      <c r="D6" s="36">
        <v>0</v>
      </c>
      <c r="E6" s="36">
        <v>390.07</v>
      </c>
      <c r="F6" s="36">
        <f>642+1125</f>
        <v>1767</v>
      </c>
      <c r="G6" s="36">
        <v>1350</v>
      </c>
      <c r="H6" s="36">
        <f>675+720+321+145+960</f>
        <v>2821</v>
      </c>
      <c r="I6" s="36">
        <f>74+1350+1125</f>
        <v>2549</v>
      </c>
      <c r="J6" s="36">
        <v>0</v>
      </c>
      <c r="K6" s="36">
        <v>0</v>
      </c>
      <c r="L6" s="36">
        <v>2173.1999999999998</v>
      </c>
      <c r="M6" s="36">
        <f>270+740</f>
        <v>1010</v>
      </c>
      <c r="N6" s="36">
        <v>464</v>
      </c>
      <c r="O6" s="270">
        <v>1045</v>
      </c>
      <c r="P6" s="290">
        <f t="shared" si="0"/>
        <v>5.1238877608708551E-2</v>
      </c>
    </row>
    <row r="7" spans="1:17" ht="17.25" customHeight="1" x14ac:dyDescent="0.2">
      <c r="A7" s="25">
        <v>3</v>
      </c>
      <c r="B7" s="28" t="s">
        <v>20</v>
      </c>
      <c r="C7" s="36">
        <v>0</v>
      </c>
      <c r="D7" s="36">
        <v>1988</v>
      </c>
      <c r="E7" s="36">
        <v>450</v>
      </c>
      <c r="F7" s="36">
        <v>1688</v>
      </c>
      <c r="G7" s="36">
        <f>642+246</f>
        <v>888</v>
      </c>
      <c r="H7" s="36">
        <f>360+1800</f>
        <v>2160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  <c r="O7" s="270">
        <v>1988</v>
      </c>
      <c r="P7" s="290">
        <f t="shared" si="0"/>
        <v>9.7476448503457033E-2</v>
      </c>
    </row>
    <row r="8" spans="1:17" ht="17.25" customHeight="1" x14ac:dyDescent="0.2">
      <c r="A8" s="25">
        <v>4</v>
      </c>
      <c r="B8" s="28" t="s">
        <v>21</v>
      </c>
      <c r="C8" s="36">
        <v>0</v>
      </c>
      <c r="D8" s="36">
        <v>0</v>
      </c>
      <c r="E8" s="36">
        <v>0</v>
      </c>
      <c r="F8" s="36">
        <v>0</v>
      </c>
      <c r="G8" s="36">
        <v>6750</v>
      </c>
      <c r="H8" s="36">
        <f>3375+900</f>
        <v>4275</v>
      </c>
      <c r="I8" s="36">
        <v>1284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270">
        <v>0</v>
      </c>
      <c r="P8" s="290">
        <f t="shared" si="0"/>
        <v>0</v>
      </c>
    </row>
    <row r="9" spans="1:17" ht="17.25" customHeight="1" x14ac:dyDescent="0.2">
      <c r="A9" s="25">
        <v>5</v>
      </c>
      <c r="B9" s="28" t="s">
        <v>2</v>
      </c>
      <c r="C9" s="36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270">
        <v>0</v>
      </c>
      <c r="P9" s="290">
        <f t="shared" si="0"/>
        <v>0</v>
      </c>
    </row>
    <row r="10" spans="1:17" ht="17.25" customHeight="1" x14ac:dyDescent="0.2">
      <c r="A10" s="25">
        <v>6</v>
      </c>
      <c r="B10" s="28" t="s">
        <v>3</v>
      </c>
      <c r="C10" s="36">
        <v>0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270">
        <v>0</v>
      </c>
      <c r="P10" s="290">
        <f t="shared" si="0"/>
        <v>0</v>
      </c>
    </row>
    <row r="11" spans="1:17" ht="17.25" customHeight="1" x14ac:dyDescent="0.2">
      <c r="A11" s="25">
        <v>7</v>
      </c>
      <c r="B11" s="28" t="s">
        <v>4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70">
        <v>0</v>
      </c>
      <c r="P11" s="290">
        <f t="shared" si="0"/>
        <v>0</v>
      </c>
    </row>
    <row r="12" spans="1:17" ht="17.25" customHeight="1" x14ac:dyDescent="0.2">
      <c r="A12" s="25">
        <v>8</v>
      </c>
      <c r="B12" s="28" t="s">
        <v>5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270">
        <v>0</v>
      </c>
      <c r="P12" s="290">
        <f t="shared" si="0"/>
        <v>0</v>
      </c>
    </row>
    <row r="13" spans="1:17" ht="17.25" customHeight="1" x14ac:dyDescent="0.2">
      <c r="A13" s="25">
        <v>9</v>
      </c>
      <c r="B13" s="28" t="s">
        <v>6</v>
      </c>
      <c r="C13" s="36">
        <v>0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270">
        <v>0</v>
      </c>
      <c r="P13" s="290">
        <f t="shared" si="0"/>
        <v>0</v>
      </c>
    </row>
    <row r="14" spans="1:17" ht="17.25" customHeight="1" x14ac:dyDescent="0.2">
      <c r="A14" s="25">
        <v>10</v>
      </c>
      <c r="B14" s="28" t="s">
        <v>7</v>
      </c>
      <c r="C14" s="36">
        <v>0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270">
        <v>0</v>
      </c>
      <c r="P14" s="290">
        <f t="shared" si="0"/>
        <v>0</v>
      </c>
    </row>
    <row r="15" spans="1:17" ht="17.25" customHeight="1" x14ac:dyDescent="0.2">
      <c r="A15" s="25">
        <v>11</v>
      </c>
      <c r="B15" s="28" t="s">
        <v>8</v>
      </c>
      <c r="C15" s="36">
        <v>0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270">
        <v>0</v>
      </c>
      <c r="P15" s="290">
        <f t="shared" si="0"/>
        <v>0</v>
      </c>
    </row>
    <row r="16" spans="1:17" ht="17.25" customHeight="1" x14ac:dyDescent="0.2">
      <c r="A16" s="25">
        <v>12</v>
      </c>
      <c r="B16" s="28" t="s">
        <v>9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270">
        <v>370</v>
      </c>
      <c r="P16" s="290">
        <f t="shared" si="0"/>
        <v>1.8141994942796329E-2</v>
      </c>
    </row>
    <row r="17" spans="1:16" ht="17.25" customHeight="1" x14ac:dyDescent="0.2">
      <c r="A17" s="25">
        <v>13</v>
      </c>
      <c r="B17" s="28" t="s">
        <v>10</v>
      </c>
      <c r="C17" s="36">
        <v>0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270">
        <v>0</v>
      </c>
      <c r="P17" s="290">
        <f t="shared" si="0"/>
        <v>0</v>
      </c>
    </row>
    <row r="18" spans="1:16" ht="17.25" customHeight="1" x14ac:dyDescent="0.2">
      <c r="A18" s="25">
        <v>14</v>
      </c>
      <c r="B18" s="28" t="s">
        <v>11</v>
      </c>
      <c r="C18" s="36">
        <v>0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270">
        <v>0</v>
      </c>
      <c r="P18" s="290">
        <f t="shared" si="0"/>
        <v>0</v>
      </c>
    </row>
    <row r="19" spans="1:16" ht="17.25" customHeight="1" x14ac:dyDescent="0.2">
      <c r="A19" s="25">
        <v>15</v>
      </c>
      <c r="B19" s="28" t="s">
        <v>12</v>
      </c>
      <c r="C19" s="36">
        <v>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270">
        <v>0</v>
      </c>
      <c r="P19" s="290">
        <f t="shared" si="0"/>
        <v>0</v>
      </c>
    </row>
    <row r="20" spans="1:16" ht="17.25" customHeight="1" x14ac:dyDescent="0.2">
      <c r="A20" s="25">
        <v>16</v>
      </c>
      <c r="B20" s="29" t="s">
        <v>13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270">
        <v>0</v>
      </c>
      <c r="P20" s="290">
        <f t="shared" si="0"/>
        <v>0</v>
      </c>
    </row>
    <row r="21" spans="1:16" ht="17.25" customHeight="1" x14ac:dyDescent="0.2">
      <c r="A21" s="25">
        <v>17</v>
      </c>
      <c r="B21" s="28" t="s">
        <v>14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270">
        <v>0</v>
      </c>
      <c r="P21" s="290">
        <f t="shared" si="0"/>
        <v>0</v>
      </c>
    </row>
    <row r="22" spans="1:16" ht="17.25" customHeight="1" x14ac:dyDescent="0.2">
      <c r="A22" s="25">
        <v>18</v>
      </c>
      <c r="B22" s="28" t="s">
        <v>15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270">
        <v>0</v>
      </c>
      <c r="P22" s="290">
        <f t="shared" si="0"/>
        <v>0</v>
      </c>
    </row>
    <row r="23" spans="1:16" ht="17.25" customHeight="1" x14ac:dyDescent="0.2">
      <c r="A23" s="32" t="s">
        <v>67</v>
      </c>
      <c r="B23" s="33" t="s">
        <v>22</v>
      </c>
      <c r="C23" s="37">
        <v>8836.67</v>
      </c>
      <c r="D23" s="37">
        <v>11558</v>
      </c>
      <c r="E23" s="37">
        <f>8750+390.07+450</f>
        <v>9590.07</v>
      </c>
      <c r="F23" s="37">
        <f>11424+1767+1688</f>
        <v>14879</v>
      </c>
      <c r="G23" s="37">
        <f>1990+1350+888+6750</f>
        <v>10978</v>
      </c>
      <c r="H23" s="37">
        <f>5148+2821+2160+4275</f>
        <v>14404</v>
      </c>
      <c r="I23" s="37">
        <f>2549+1284</f>
        <v>3833</v>
      </c>
      <c r="J23" s="37">
        <v>0</v>
      </c>
      <c r="K23" s="37">
        <v>0</v>
      </c>
      <c r="L23" s="37">
        <v>2173</v>
      </c>
      <c r="M23" s="37">
        <f>1010</f>
        <v>1010</v>
      </c>
      <c r="N23" s="37">
        <v>0</v>
      </c>
      <c r="O23" s="53">
        <v>20394.669999999998</v>
      </c>
      <c r="P23" s="352">
        <f t="shared" si="0"/>
        <v>1</v>
      </c>
    </row>
    <row r="24" spans="1:16" s="355" customFormat="1" ht="17.25" customHeight="1" x14ac:dyDescent="0.2">
      <c r="A24" s="30">
        <v>19</v>
      </c>
      <c r="B24" s="31" t="s">
        <v>16</v>
      </c>
      <c r="C24" s="353"/>
      <c r="D24" s="353"/>
      <c r="E24" s="353"/>
      <c r="F24" s="353"/>
      <c r="G24" s="353"/>
      <c r="H24" s="353"/>
      <c r="I24" s="353"/>
      <c r="J24" s="353">
        <v>0</v>
      </c>
      <c r="K24" s="353"/>
      <c r="L24" s="353"/>
      <c r="M24" s="353"/>
      <c r="N24" s="353">
        <v>0</v>
      </c>
      <c r="O24" s="354">
        <f t="shared" ref="O24:O27" si="1">SUM(C24:N24)</f>
        <v>0</v>
      </c>
      <c r="P24" s="339">
        <f t="shared" si="0"/>
        <v>0</v>
      </c>
    </row>
    <row r="25" spans="1:16" s="355" customFormat="1" ht="17.25" customHeight="1" x14ac:dyDescent="0.2">
      <c r="A25" s="30">
        <v>20</v>
      </c>
      <c r="B25" s="28" t="s">
        <v>17</v>
      </c>
      <c r="C25" s="353"/>
      <c r="D25" s="353"/>
      <c r="E25" s="353"/>
      <c r="F25" s="353"/>
      <c r="G25" s="353"/>
      <c r="H25" s="353"/>
      <c r="I25" s="353"/>
      <c r="J25" s="353"/>
      <c r="K25" s="353"/>
      <c r="L25" s="353"/>
      <c r="M25" s="353"/>
      <c r="N25" s="353">
        <v>0</v>
      </c>
      <c r="O25" s="354">
        <f t="shared" si="1"/>
        <v>0</v>
      </c>
      <c r="P25" s="339">
        <f t="shared" si="0"/>
        <v>0</v>
      </c>
    </row>
    <row r="26" spans="1:16" ht="17.25" customHeight="1" x14ac:dyDescent="0.2">
      <c r="A26" s="43" t="s">
        <v>55</v>
      </c>
      <c r="B26" s="44" t="s">
        <v>23</v>
      </c>
      <c r="C26" s="40">
        <f>C24+C25</f>
        <v>0</v>
      </c>
      <c r="D26" s="40">
        <f t="shared" ref="D26:N26" si="2">D24+D25</f>
        <v>0</v>
      </c>
      <c r="E26" s="40">
        <f t="shared" si="2"/>
        <v>0</v>
      </c>
      <c r="F26" s="40">
        <f t="shared" si="2"/>
        <v>0</v>
      </c>
      <c r="G26" s="40">
        <f t="shared" si="2"/>
        <v>0</v>
      </c>
      <c r="H26" s="40">
        <f t="shared" si="2"/>
        <v>0</v>
      </c>
      <c r="I26" s="40">
        <f t="shared" si="2"/>
        <v>0</v>
      </c>
      <c r="J26" s="40">
        <f t="shared" si="2"/>
        <v>0</v>
      </c>
      <c r="K26" s="40">
        <f t="shared" si="2"/>
        <v>0</v>
      </c>
      <c r="L26" s="40">
        <f t="shared" si="2"/>
        <v>0</v>
      </c>
      <c r="M26" s="40">
        <f t="shared" si="2"/>
        <v>0</v>
      </c>
      <c r="N26" s="40">
        <f t="shared" si="2"/>
        <v>0</v>
      </c>
      <c r="O26" s="275">
        <f t="shared" si="1"/>
        <v>0</v>
      </c>
      <c r="P26" s="356">
        <f t="shared" si="0"/>
        <v>0</v>
      </c>
    </row>
    <row r="27" spans="1:16" s="359" customFormat="1" ht="17.25" customHeight="1" x14ac:dyDescent="0.2">
      <c r="A27" s="203" t="s">
        <v>68</v>
      </c>
      <c r="B27" s="219" t="s">
        <v>25</v>
      </c>
      <c r="C27" s="357">
        <f>C23+C26</f>
        <v>8836.67</v>
      </c>
      <c r="D27" s="357">
        <f t="shared" ref="D27:N27" si="3">D23+D26</f>
        <v>11558</v>
      </c>
      <c r="E27" s="357">
        <f t="shared" si="3"/>
        <v>9590.07</v>
      </c>
      <c r="F27" s="357">
        <f t="shared" si="3"/>
        <v>14879</v>
      </c>
      <c r="G27" s="357">
        <f t="shared" si="3"/>
        <v>10978</v>
      </c>
      <c r="H27" s="357">
        <f t="shared" si="3"/>
        <v>14404</v>
      </c>
      <c r="I27" s="357">
        <f t="shared" si="3"/>
        <v>3833</v>
      </c>
      <c r="J27" s="357">
        <f t="shared" si="3"/>
        <v>0</v>
      </c>
      <c r="K27" s="357">
        <f t="shared" si="3"/>
        <v>0</v>
      </c>
      <c r="L27" s="357">
        <f t="shared" si="3"/>
        <v>2173</v>
      </c>
      <c r="M27" s="357">
        <f t="shared" si="3"/>
        <v>1010</v>
      </c>
      <c r="N27" s="357">
        <f t="shared" si="3"/>
        <v>0</v>
      </c>
      <c r="O27" s="282">
        <f t="shared" si="1"/>
        <v>77261.739999999991</v>
      </c>
      <c r="P27" s="358">
        <f t="shared" si="0"/>
        <v>3.7883299901395806</v>
      </c>
    </row>
    <row r="30" spans="1:16" ht="17.25" customHeight="1" x14ac:dyDescent="0.2">
      <c r="G30" s="3"/>
      <c r="H30" s="7" t="s">
        <v>49</v>
      </c>
      <c r="I30" s="3"/>
      <c r="J30" s="3"/>
      <c r="K30" s="3"/>
      <c r="L30" s="2"/>
      <c r="M30" s="3" t="s">
        <v>50</v>
      </c>
      <c r="N30" s="8"/>
    </row>
    <row r="31" spans="1:16" ht="17.25" customHeight="1" x14ac:dyDescent="0.2">
      <c r="G31" s="3"/>
      <c r="H31" s="3" t="s">
        <v>51</v>
      </c>
      <c r="I31" s="3"/>
      <c r="J31" s="3"/>
      <c r="K31" s="3"/>
      <c r="L31" s="2"/>
      <c r="M31" s="3" t="s">
        <v>52</v>
      </c>
      <c r="N31" s="8"/>
    </row>
    <row r="32" spans="1:16" ht="17.25" customHeight="1" x14ac:dyDescent="0.2">
      <c r="G32" s="3"/>
      <c r="H32" s="2" t="s">
        <v>53</v>
      </c>
      <c r="I32" s="2"/>
      <c r="J32" s="2"/>
      <c r="K32" s="3"/>
      <c r="L32" s="2"/>
      <c r="M32" s="3" t="s">
        <v>54</v>
      </c>
      <c r="N32" s="8"/>
    </row>
    <row r="33" spans="7:14" ht="17.25" customHeight="1" x14ac:dyDescent="0.2">
      <c r="G33" s="2"/>
      <c r="H33" s="2"/>
      <c r="I33" s="2"/>
      <c r="J33" s="2"/>
      <c r="K33" s="3"/>
      <c r="L33" s="2"/>
      <c r="M33" s="2"/>
      <c r="N33" s="4"/>
    </row>
  </sheetData>
  <printOptions horizontalCentered="1"/>
  <pageMargins left="0" right="0" top="0.55118110236220474" bottom="0.35433070866141736" header="0.11811023622047245" footer="0.11811023622047245"/>
  <pageSetup paperSize="9" scale="9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showGridLines="0" topLeftCell="A8" zoomScaleNormal="100" workbookViewId="0">
      <selection activeCell="N26" sqref="N26"/>
    </sheetView>
  </sheetViews>
  <sheetFormatPr defaultColWidth="7.5" defaultRowHeight="18.75" customHeight="1" x14ac:dyDescent="0.5"/>
  <cols>
    <col min="1" max="1" width="4.75" style="1" customWidth="1"/>
    <col min="2" max="2" width="16.5" style="14" customWidth="1"/>
    <col min="3" max="14" width="9.25" style="1" customWidth="1"/>
    <col min="15" max="15" width="9.25" style="79" customWidth="1"/>
    <col min="16" max="16" width="9.25" style="350" customWidth="1"/>
    <col min="17" max="16384" width="7.5" style="1"/>
  </cols>
  <sheetData>
    <row r="1" spans="1:17" s="66" customFormat="1" ht="18.75" customHeight="1" x14ac:dyDescent="0.2">
      <c r="A1" s="86"/>
      <c r="C1" s="88"/>
      <c r="D1" s="87" t="s">
        <v>57</v>
      </c>
      <c r="E1" s="88"/>
      <c r="F1" s="88"/>
      <c r="G1" s="88"/>
      <c r="H1" s="88"/>
      <c r="K1" s="87" t="str">
        <f>สรุปยอด!C3</f>
        <v xml:space="preserve"> ปีงบประมาณ   2561</v>
      </c>
      <c r="L1" s="88"/>
      <c r="M1" s="88"/>
      <c r="N1" s="88"/>
      <c r="O1" s="88"/>
      <c r="P1" s="334"/>
      <c r="Q1" s="69"/>
    </row>
    <row r="2" spans="1:17" s="66" customFormat="1" ht="18.75" customHeight="1" x14ac:dyDescent="0.2">
      <c r="A2" s="86"/>
      <c r="C2" s="87" t="str">
        <f>'[1]1.1.ยา(ทั่วไป)'!C2</f>
        <v>จาก ฝ่ายเภสัชกรรมชุมชน  โรงพยาบาลกุมภวาปี</v>
      </c>
      <c r="D2" s="88"/>
      <c r="F2" s="88"/>
      <c r="G2" s="88"/>
      <c r="I2" s="88"/>
      <c r="J2" s="88"/>
      <c r="K2" s="88"/>
      <c r="M2" s="89"/>
      <c r="N2" s="90" t="str">
        <f>สรุปยอด!D4</f>
        <v xml:space="preserve">รายงานข้อมูลณ วันที่ 28/9/61 </v>
      </c>
      <c r="O2" s="91"/>
      <c r="P2" s="334"/>
      <c r="Q2" s="69"/>
    </row>
    <row r="3" spans="1:17" s="66" customFormat="1" ht="6.75" customHeight="1" x14ac:dyDescent="0.2">
      <c r="A3" s="86"/>
      <c r="C3" s="87"/>
      <c r="D3" s="88"/>
      <c r="F3" s="88"/>
      <c r="G3" s="88"/>
      <c r="I3" s="88"/>
      <c r="J3" s="88"/>
      <c r="K3" s="88"/>
      <c r="M3" s="89"/>
      <c r="N3" s="90"/>
      <c r="O3" s="91"/>
      <c r="P3" s="334"/>
      <c r="Q3" s="69"/>
    </row>
    <row r="4" spans="1:17" s="79" customFormat="1" ht="18.75" customHeight="1" x14ac:dyDescent="0.5">
      <c r="A4" s="76" t="s">
        <v>0</v>
      </c>
      <c r="B4" s="78" t="s">
        <v>1</v>
      </c>
      <c r="C4" s="77" t="s">
        <v>27</v>
      </c>
      <c r="D4" s="77" t="s">
        <v>28</v>
      </c>
      <c r="E4" s="77" t="s">
        <v>29</v>
      </c>
      <c r="F4" s="77" t="s">
        <v>30</v>
      </c>
      <c r="G4" s="77" t="s">
        <v>31</v>
      </c>
      <c r="H4" s="77" t="s">
        <v>32</v>
      </c>
      <c r="I4" s="77" t="s">
        <v>33</v>
      </c>
      <c r="J4" s="77" t="s">
        <v>34</v>
      </c>
      <c r="K4" s="77" t="s">
        <v>35</v>
      </c>
      <c r="L4" s="77" t="s">
        <v>36</v>
      </c>
      <c r="M4" s="77" t="s">
        <v>37</v>
      </c>
      <c r="N4" s="77" t="s">
        <v>38</v>
      </c>
      <c r="O4" s="77" t="s">
        <v>39</v>
      </c>
      <c r="P4" s="345" t="s">
        <v>40</v>
      </c>
    </row>
    <row r="5" spans="1:17" s="20" customFormat="1" ht="19.5" customHeight="1" x14ac:dyDescent="0.2">
      <c r="A5" s="5">
        <v>1</v>
      </c>
      <c r="B5" s="34" t="s">
        <v>18</v>
      </c>
      <c r="C5" s="92">
        <f>37516.53+47216.53+10530</f>
        <v>95263.06</v>
      </c>
      <c r="D5" s="92">
        <f>7450+46975.15</f>
        <v>54425.15</v>
      </c>
      <c r="E5" s="92">
        <f>1196+29899.95+6600</f>
        <v>37695.949999999997</v>
      </c>
      <c r="F5" s="92">
        <f>18484+16100+1560+640</f>
        <v>36784</v>
      </c>
      <c r="G5" s="92">
        <f>17500+642+17101.91+5760</f>
        <v>41003.910000000003</v>
      </c>
      <c r="H5" s="92">
        <f>31167.82+5720+580+720</f>
        <v>38187.82</v>
      </c>
      <c r="I5" s="92">
        <v>0</v>
      </c>
      <c r="J5" s="92">
        <f>30361+45213+1284</f>
        <v>76858</v>
      </c>
      <c r="K5" s="92">
        <f>960+12286+6240+960</f>
        <v>20446</v>
      </c>
      <c r="L5" s="92">
        <f>41734+4420+83+4800+8364</f>
        <v>59401</v>
      </c>
      <c r="M5" s="92">
        <f>35537.91+4800</f>
        <v>40337.910000000003</v>
      </c>
      <c r="N5" s="92">
        <f>36407.91</f>
        <v>36407.910000000003</v>
      </c>
      <c r="O5" s="310">
        <f>SUM(C5:N5)</f>
        <v>536810.71</v>
      </c>
      <c r="P5" s="346">
        <f t="shared" ref="P5:P27" si="0">O5/$O$23</f>
        <v>0.1927634057019805</v>
      </c>
    </row>
    <row r="6" spans="1:17" s="20" customFormat="1" ht="19.5" customHeight="1" x14ac:dyDescent="0.2">
      <c r="A6" s="5">
        <v>2</v>
      </c>
      <c r="B6" s="34" t="s">
        <v>19</v>
      </c>
      <c r="C6" s="92">
        <f>9177.81+16852.08+361+8190+789.6</f>
        <v>35370.49</v>
      </c>
      <c r="D6" s="92">
        <f>9747.41+12452.41</f>
        <v>22199.82</v>
      </c>
      <c r="E6" s="92">
        <f>14694.15+3300+250+140.07+3300</f>
        <v>21684.22</v>
      </c>
      <c r="F6" s="92">
        <f>11889.6+2808+1125+642+145+2949.6+4212+3300</f>
        <v>27071.199999999997</v>
      </c>
      <c r="G6" s="92">
        <f>4042.6+5760+12259.98</f>
        <v>22062.58</v>
      </c>
      <c r="H6" s="92">
        <f>6395+3840+15790.18+2808+270+960</f>
        <v>30063.18</v>
      </c>
      <c r="I6" s="92">
        <f>8723+10589.55+2475</f>
        <v>21787.55</v>
      </c>
      <c r="J6" s="92">
        <f>1125+10657.6+642</f>
        <v>12424.6</v>
      </c>
      <c r="K6" s="92">
        <f>3768+16809.18+1560</f>
        <v>22137.18</v>
      </c>
      <c r="L6" s="92">
        <f>2025+11100+17661.8+4800-834.6</f>
        <v>34752.200000000004</v>
      </c>
      <c r="M6" s="92">
        <f>26599.6+2100+6800+1125</f>
        <v>36624.6</v>
      </c>
      <c r="N6" s="92">
        <v>35821.050000000003</v>
      </c>
      <c r="O6" s="310">
        <f t="shared" ref="O6:O27" si="1">SUM(C6:N6)</f>
        <v>321998.67</v>
      </c>
      <c r="P6" s="346">
        <f t="shared" si="0"/>
        <v>0.11562653111132626</v>
      </c>
    </row>
    <row r="7" spans="1:17" s="20" customFormat="1" ht="19.5" customHeight="1" x14ac:dyDescent="0.2">
      <c r="A7" s="5">
        <v>3</v>
      </c>
      <c r="B7" s="34" t="s">
        <v>20</v>
      </c>
      <c r="C7" s="92">
        <v>5033.9799999999996</v>
      </c>
      <c r="D7" s="92">
        <f>4655.98+9747.3</f>
        <v>14403.279999999999</v>
      </c>
      <c r="E7" s="92">
        <f>2805+5104.78+1650+450</f>
        <v>10009.779999999999</v>
      </c>
      <c r="F7" s="92">
        <f>1688+3858+2700+3300</f>
        <v>11546</v>
      </c>
      <c r="G7" s="92">
        <f>7102.8+7616</f>
        <v>14718.8</v>
      </c>
      <c r="H7" s="92">
        <f>485+780+16477.95</f>
        <v>17742.95</v>
      </c>
      <c r="I7" s="92">
        <v>4620</v>
      </c>
      <c r="J7" s="92">
        <v>9228.98</v>
      </c>
      <c r="K7" s="92">
        <f>5693+1440</f>
        <v>7133</v>
      </c>
      <c r="L7" s="92">
        <f>2503+2187.69</f>
        <v>4690.6900000000005</v>
      </c>
      <c r="M7" s="92">
        <f>5455+1000</f>
        <v>6455</v>
      </c>
      <c r="N7" s="92">
        <f>19149.8+5808.8+9260.96</f>
        <v>34219.56</v>
      </c>
      <c r="O7" s="310">
        <f t="shared" si="1"/>
        <v>139802.01999999999</v>
      </c>
      <c r="P7" s="346">
        <f t="shared" si="0"/>
        <v>5.0201519822911864E-2</v>
      </c>
    </row>
    <row r="8" spans="1:17" s="20" customFormat="1" ht="19.5" customHeight="1" x14ac:dyDescent="0.2">
      <c r="A8" s="5">
        <v>4</v>
      </c>
      <c r="B8" s="34" t="s">
        <v>21</v>
      </c>
      <c r="C8" s="92">
        <f>3115.8+3599.91+6600</f>
        <v>13315.71</v>
      </c>
      <c r="D8" s="92">
        <f>47644.62+8079+10225+1250</f>
        <v>67198.62</v>
      </c>
      <c r="E8" s="92">
        <f>7200+3300</f>
        <v>10500</v>
      </c>
      <c r="F8" s="92">
        <f>18650+1800+9900+6300</f>
        <v>36650</v>
      </c>
      <c r="G8" s="92">
        <v>34898</v>
      </c>
      <c r="H8" s="92">
        <f>18000+10425+10560</f>
        <v>38985</v>
      </c>
      <c r="I8" s="92">
        <f>19294+10560</f>
        <v>29854</v>
      </c>
      <c r="J8" s="92">
        <f>13000+148</f>
        <v>13148</v>
      </c>
      <c r="K8" s="92">
        <f>4500+16193.77</f>
        <v>20693.77</v>
      </c>
      <c r="L8" s="92">
        <f>20570+10560</f>
        <v>31130</v>
      </c>
      <c r="M8" s="92">
        <f>45407.55</f>
        <v>45407.55</v>
      </c>
      <c r="N8" s="92">
        <f>642+23400</f>
        <v>24042</v>
      </c>
      <c r="O8" s="310">
        <f t="shared" si="1"/>
        <v>365822.64999999997</v>
      </c>
      <c r="P8" s="346">
        <f t="shared" si="0"/>
        <v>0.13136328799573244</v>
      </c>
    </row>
    <row r="9" spans="1:17" s="20" customFormat="1" ht="19.5" customHeight="1" x14ac:dyDescent="0.2">
      <c r="A9" s="5">
        <v>5</v>
      </c>
      <c r="B9" s="34" t="s">
        <v>2</v>
      </c>
      <c r="C9" s="92">
        <v>6985</v>
      </c>
      <c r="D9" s="92">
        <f>2328+4325</f>
        <v>6653</v>
      </c>
      <c r="E9" s="92">
        <f>2334.95+3300</f>
        <v>5634.95</v>
      </c>
      <c r="F9" s="92">
        <f>18623.98+4200</f>
        <v>22823.98</v>
      </c>
      <c r="G9" s="92">
        <f>3797.98+450</f>
        <v>4247.9799999999996</v>
      </c>
      <c r="H9" s="92">
        <f>7969.98+3510</f>
        <v>11479.98</v>
      </c>
      <c r="I9" s="92">
        <f>1440+1680</f>
        <v>3120</v>
      </c>
      <c r="J9" s="92">
        <f>14037.98+2400+780+90</f>
        <v>17307.98</v>
      </c>
      <c r="K9" s="92">
        <f>8775+570+90</f>
        <v>9435</v>
      </c>
      <c r="L9" s="92">
        <f>19355.95+3360</f>
        <v>22715.95</v>
      </c>
      <c r="M9" s="92">
        <f>3299.98+12365+720</f>
        <v>16384.98</v>
      </c>
      <c r="N9" s="92">
        <v>16265.98</v>
      </c>
      <c r="O9" s="310">
        <f t="shared" si="1"/>
        <v>143054.78</v>
      </c>
      <c r="P9" s="346">
        <f t="shared" si="0"/>
        <v>5.136955370124334E-2</v>
      </c>
    </row>
    <row r="10" spans="1:17" s="20" customFormat="1" ht="19.5" customHeight="1" x14ac:dyDescent="0.2">
      <c r="A10" s="5">
        <v>6</v>
      </c>
      <c r="B10" s="34" t="s">
        <v>3</v>
      </c>
      <c r="C10" s="92">
        <v>1444.99</v>
      </c>
      <c r="D10" s="92">
        <f>8287.49+1624.9</f>
        <v>9912.39</v>
      </c>
      <c r="E10" s="92">
        <v>0</v>
      </c>
      <c r="F10" s="92">
        <f>9070.49+1350</f>
        <v>10420.49</v>
      </c>
      <c r="G10" s="92">
        <v>19156.990000000002</v>
      </c>
      <c r="H10" s="92">
        <v>2790</v>
      </c>
      <c r="I10" s="92">
        <v>3525</v>
      </c>
      <c r="J10" s="92">
        <f>90+1440+4305+780+10.5</f>
        <v>6625.5</v>
      </c>
      <c r="K10" s="92">
        <v>480</v>
      </c>
      <c r="L10" s="92">
        <f>6979.98+2880+1350</f>
        <v>11209.98</v>
      </c>
      <c r="M10" s="92">
        <v>11732.98</v>
      </c>
      <c r="N10" s="92">
        <v>0</v>
      </c>
      <c r="O10" s="310">
        <f t="shared" si="1"/>
        <v>77298.319999999992</v>
      </c>
      <c r="P10" s="346">
        <f t="shared" si="0"/>
        <v>2.7757060618707686E-2</v>
      </c>
    </row>
    <row r="11" spans="1:17" s="20" customFormat="1" ht="19.5" customHeight="1" x14ac:dyDescent="0.2">
      <c r="A11" s="5">
        <v>7</v>
      </c>
      <c r="B11" s="34" t="s">
        <v>4</v>
      </c>
      <c r="C11" s="92">
        <f>2024.98+10716.81</f>
        <v>12741.789999999999</v>
      </c>
      <c r="D11" s="92">
        <v>2569.98</v>
      </c>
      <c r="E11" s="92">
        <f>6879.98+3300+600+375</f>
        <v>11154.98</v>
      </c>
      <c r="F11" s="92">
        <f>9940.56+3500</f>
        <v>13440.56</v>
      </c>
      <c r="G11" s="92">
        <f>1495+7015.95+2880+1625</f>
        <v>13015.95</v>
      </c>
      <c r="H11" s="92">
        <f>8039.98+720</f>
        <v>8759.98</v>
      </c>
      <c r="I11" s="92">
        <v>10790</v>
      </c>
      <c r="J11" s="92">
        <f>8528.98+260</f>
        <v>8788.98</v>
      </c>
      <c r="K11" s="92">
        <f>4863.98+960+500+1300</f>
        <v>7623.98</v>
      </c>
      <c r="L11" s="92">
        <f>12703+1750+960</f>
        <v>15413</v>
      </c>
      <c r="M11" s="92">
        <v>0</v>
      </c>
      <c r="N11" s="92">
        <f>11169.98+29019.78</f>
        <v>40189.759999999995</v>
      </c>
      <c r="O11" s="310">
        <f t="shared" si="1"/>
        <v>144488.95999999996</v>
      </c>
      <c r="P11" s="346">
        <f t="shared" si="0"/>
        <v>5.1884553525277516E-2</v>
      </c>
    </row>
    <row r="12" spans="1:17" s="20" customFormat="1" ht="19.5" customHeight="1" x14ac:dyDescent="0.2">
      <c r="A12" s="5">
        <v>8</v>
      </c>
      <c r="B12" s="34" t="s">
        <v>5</v>
      </c>
      <c r="C12" s="92">
        <f>25570.63+2808</f>
        <v>28378.63</v>
      </c>
      <c r="D12" s="92">
        <v>8613.98</v>
      </c>
      <c r="E12" s="92">
        <v>3300</v>
      </c>
      <c r="F12" s="92">
        <f>17469.95+4200</f>
        <v>21669.95</v>
      </c>
      <c r="G12" s="92">
        <f>4920+2400</f>
        <v>7320</v>
      </c>
      <c r="H12" s="92">
        <f>17686.35+420</f>
        <v>18106.349999999999</v>
      </c>
      <c r="I12" s="92">
        <f>13715.98+7914</f>
        <v>21629.98</v>
      </c>
      <c r="J12" s="92">
        <f>1680+9600+4620</f>
        <v>15900</v>
      </c>
      <c r="K12" s="92">
        <f>17379.95+1440+1170</f>
        <v>19989.95</v>
      </c>
      <c r="L12" s="92">
        <f>3840+21118.4</f>
        <v>24958.400000000001</v>
      </c>
      <c r="M12" s="92">
        <v>0</v>
      </c>
      <c r="N12" s="92">
        <f>22855.95+4800+2000</f>
        <v>29655.95</v>
      </c>
      <c r="O12" s="310">
        <f t="shared" si="1"/>
        <v>199523.19</v>
      </c>
      <c r="P12" s="346">
        <f t="shared" si="0"/>
        <v>7.1646800081398038E-2</v>
      </c>
    </row>
    <row r="13" spans="1:17" s="20" customFormat="1" ht="19.5" customHeight="1" x14ac:dyDescent="0.2">
      <c r="A13" s="5">
        <v>9</v>
      </c>
      <c r="B13" s="34" t="s">
        <v>6</v>
      </c>
      <c r="C13" s="92">
        <v>7274.56</v>
      </c>
      <c r="D13" s="92">
        <f>1807.84+7495</f>
        <v>9302.84</v>
      </c>
      <c r="E13" s="92">
        <v>5968</v>
      </c>
      <c r="F13" s="92">
        <v>4219.99</v>
      </c>
      <c r="G13" s="92">
        <v>0</v>
      </c>
      <c r="H13" s="92">
        <v>848</v>
      </c>
      <c r="I13" s="92">
        <f>15570+6057.99</f>
        <v>21627.989999999998</v>
      </c>
      <c r="J13" s="92">
        <v>5447.99</v>
      </c>
      <c r="K13" s="92">
        <v>3203</v>
      </c>
      <c r="L13" s="92">
        <f>6254.99</f>
        <v>6254.99</v>
      </c>
      <c r="M13" s="92">
        <v>3048</v>
      </c>
      <c r="N13" s="92">
        <f>900</f>
        <v>900</v>
      </c>
      <c r="O13" s="310">
        <f t="shared" si="1"/>
        <v>68095.359999999986</v>
      </c>
      <c r="P13" s="346">
        <f t="shared" si="0"/>
        <v>2.4452368892011137E-2</v>
      </c>
    </row>
    <row r="14" spans="1:17" s="20" customFormat="1" ht="19.5" customHeight="1" x14ac:dyDescent="0.2">
      <c r="A14" s="5">
        <v>10</v>
      </c>
      <c r="B14" s="34" t="s">
        <v>7</v>
      </c>
      <c r="C14" s="92">
        <v>6839.98</v>
      </c>
      <c r="D14" s="92">
        <v>3059.99</v>
      </c>
      <c r="E14" s="92">
        <v>0</v>
      </c>
      <c r="F14" s="92">
        <f>7416+2625</f>
        <v>10041</v>
      </c>
      <c r="G14" s="92">
        <v>0</v>
      </c>
      <c r="H14" s="92">
        <f>1350+1627.99+2340+765</f>
        <v>6082.99</v>
      </c>
      <c r="I14" s="92">
        <v>0</v>
      </c>
      <c r="J14" s="92">
        <f>510+960+4680.99+55.8+5635+510+480</f>
        <v>12831.79</v>
      </c>
      <c r="K14" s="92">
        <f>3370+480</f>
        <v>3850</v>
      </c>
      <c r="L14" s="92">
        <f>2771.99+1920</f>
        <v>4691.99</v>
      </c>
      <c r="M14" s="92">
        <f>3228+5473.19</f>
        <v>8701.1899999999987</v>
      </c>
      <c r="N14" s="92">
        <f>3910</f>
        <v>3910</v>
      </c>
      <c r="O14" s="310">
        <f t="shared" si="1"/>
        <v>60008.929999999993</v>
      </c>
      <c r="P14" s="346">
        <f t="shared" si="0"/>
        <v>2.1548612022535368E-2</v>
      </c>
    </row>
    <row r="15" spans="1:17" s="20" customFormat="1" ht="19.5" customHeight="1" x14ac:dyDescent="0.2">
      <c r="A15" s="5">
        <v>11</v>
      </c>
      <c r="B15" s="34" t="s">
        <v>8</v>
      </c>
      <c r="C15" s="92">
        <f>7443.1755+1319.98+4695.64</f>
        <v>13458.7955</v>
      </c>
      <c r="D15" s="92">
        <v>5407.98</v>
      </c>
      <c r="E15" s="92">
        <f>3819.95+3300+450</f>
        <v>7569.95</v>
      </c>
      <c r="F15" s="92">
        <f>8585.7+4375+1125+800</f>
        <v>14885.7</v>
      </c>
      <c r="G15" s="92">
        <v>0</v>
      </c>
      <c r="H15" s="92">
        <f>12163.17+2808</f>
        <v>14971.17</v>
      </c>
      <c r="I15" s="92">
        <f>18347.95+2550</f>
        <v>20897.95</v>
      </c>
      <c r="J15" s="92">
        <f>16052.98+1300+10.5+180</f>
        <v>17543.48</v>
      </c>
      <c r="K15" s="92">
        <f>270+4425.58+5789</f>
        <v>10484.58</v>
      </c>
      <c r="L15" s="92">
        <f>360+1440+675</f>
        <v>2475</v>
      </c>
      <c r="M15" s="92">
        <f>10866.38+360+87+1800+2400</f>
        <v>15513.38</v>
      </c>
      <c r="N15" s="92">
        <f>881+290+4800+525</f>
        <v>6496</v>
      </c>
      <c r="O15" s="310">
        <f t="shared" si="1"/>
        <v>129703.9855</v>
      </c>
      <c r="P15" s="346">
        <f t="shared" si="0"/>
        <v>4.6575415714228754E-2</v>
      </c>
    </row>
    <row r="16" spans="1:17" s="20" customFormat="1" ht="19.5" customHeight="1" x14ac:dyDescent="0.2">
      <c r="A16" s="5">
        <v>12</v>
      </c>
      <c r="B16" s="34" t="s">
        <v>9</v>
      </c>
      <c r="C16" s="92">
        <f>3427.49+1170</f>
        <v>4597.49</v>
      </c>
      <c r="D16" s="92">
        <v>4131.49</v>
      </c>
      <c r="E16" s="92">
        <f>2874+1100</f>
        <v>3974</v>
      </c>
      <c r="F16" s="92">
        <f>3068.09+2625</f>
        <v>5693.09</v>
      </c>
      <c r="G16" s="92">
        <f>6739.39+1440</f>
        <v>8179.39</v>
      </c>
      <c r="H16" s="92">
        <f>240+585+1440+100+4769</f>
        <v>7134</v>
      </c>
      <c r="I16" s="92">
        <f>3060+2909.99+331.2</f>
        <v>6301.19</v>
      </c>
      <c r="J16" s="92">
        <v>2935.4</v>
      </c>
      <c r="K16" s="92">
        <f>5292.99+960+480+300+2250</f>
        <v>9282.99</v>
      </c>
      <c r="L16" s="92">
        <v>1939</v>
      </c>
      <c r="M16" s="92">
        <f>4235+29+27</f>
        <v>4291</v>
      </c>
      <c r="N16" s="92">
        <v>5408.99</v>
      </c>
      <c r="O16" s="310">
        <f t="shared" si="1"/>
        <v>63868.03</v>
      </c>
      <c r="P16" s="346">
        <f t="shared" si="0"/>
        <v>2.2934376585512353E-2</v>
      </c>
    </row>
    <row r="17" spans="1:16" s="20" customFormat="1" ht="19.5" customHeight="1" x14ac:dyDescent="0.2">
      <c r="A17" s="5">
        <v>13</v>
      </c>
      <c r="B17" s="34" t="s">
        <v>10</v>
      </c>
      <c r="C17" s="92">
        <v>0</v>
      </c>
      <c r="D17" s="92">
        <v>11074.96</v>
      </c>
      <c r="E17" s="92">
        <f>2701.99+820</f>
        <v>3521.99</v>
      </c>
      <c r="F17" s="92">
        <f>1600+6938.99+8750</f>
        <v>17288.989999999998</v>
      </c>
      <c r="G17" s="92">
        <f>9679.99+2880</f>
        <v>12559.99</v>
      </c>
      <c r="H17" s="92">
        <v>0</v>
      </c>
      <c r="I17" s="92">
        <f>5837.97+1404+2880</f>
        <v>10121.970000000001</v>
      </c>
      <c r="J17" s="92">
        <f>6637.98+1440+2600+55.8</f>
        <v>10733.779999999999</v>
      </c>
      <c r="K17" s="92">
        <f>6372+960</f>
        <v>7332</v>
      </c>
      <c r="L17" s="92">
        <v>2860</v>
      </c>
      <c r="M17" s="92">
        <f>19309+2880</f>
        <v>22189</v>
      </c>
      <c r="N17" s="92">
        <f>11149.97+108</f>
        <v>11257.97</v>
      </c>
      <c r="O17" s="310">
        <f t="shared" si="1"/>
        <v>108940.65</v>
      </c>
      <c r="P17" s="346">
        <f t="shared" si="0"/>
        <v>3.9119507718814818E-2</v>
      </c>
    </row>
    <row r="18" spans="1:16" s="20" customFormat="1" ht="19.5" customHeight="1" x14ac:dyDescent="0.2">
      <c r="A18" s="5">
        <v>14</v>
      </c>
      <c r="B18" s="34" t="s">
        <v>11</v>
      </c>
      <c r="C18" s="92">
        <v>0</v>
      </c>
      <c r="D18" s="92">
        <f>500+6752.82</f>
        <v>7252.82</v>
      </c>
      <c r="E18" s="92">
        <v>1650</v>
      </c>
      <c r="F18" s="92">
        <f>5660+2100+1650+1259.98</f>
        <v>10669.98</v>
      </c>
      <c r="G18" s="92">
        <v>0</v>
      </c>
      <c r="H18" s="92">
        <v>0</v>
      </c>
      <c r="I18" s="92">
        <v>2550</v>
      </c>
      <c r="J18" s="92">
        <v>3295</v>
      </c>
      <c r="K18" s="92">
        <v>1272</v>
      </c>
      <c r="L18" s="92">
        <f>4841.8+480</f>
        <v>5321.8</v>
      </c>
      <c r="M18" s="92">
        <f>8483.98+960</f>
        <v>9443.98</v>
      </c>
      <c r="N18" s="92">
        <v>0</v>
      </c>
      <c r="O18" s="310">
        <f t="shared" si="1"/>
        <v>41455.58</v>
      </c>
      <c r="P18" s="346">
        <f t="shared" si="0"/>
        <v>1.4886287917301257E-2</v>
      </c>
    </row>
    <row r="19" spans="1:16" s="20" customFormat="1" ht="19.5" customHeight="1" x14ac:dyDescent="0.2">
      <c r="A19" s="5">
        <v>15</v>
      </c>
      <c r="B19" s="34" t="s">
        <v>12</v>
      </c>
      <c r="C19" s="92">
        <f>4199.98+702+3649.98+396</f>
        <v>8947.9599999999991</v>
      </c>
      <c r="D19" s="92">
        <f>20225.97+5400</f>
        <v>25625.97</v>
      </c>
      <c r="E19" s="92">
        <v>18615.95</v>
      </c>
      <c r="F19" s="92">
        <v>8163.95</v>
      </c>
      <c r="G19" s="92">
        <f>15796+2880+1125</f>
        <v>19801</v>
      </c>
      <c r="H19" s="92">
        <v>8579.9500000000007</v>
      </c>
      <c r="I19" s="92">
        <f>9620+3336+2424+480</f>
        <v>15860</v>
      </c>
      <c r="J19" s="92">
        <f>7528+8096+4800+2600</f>
        <v>23024</v>
      </c>
      <c r="K19" s="92">
        <f>15632+1350+14049.91</f>
        <v>31031.91</v>
      </c>
      <c r="L19" s="92">
        <f>4500+19340</f>
        <v>23840</v>
      </c>
      <c r="M19" s="92">
        <v>17760</v>
      </c>
      <c r="N19" s="92">
        <v>14100</v>
      </c>
      <c r="O19" s="310">
        <f t="shared" si="1"/>
        <v>215350.69</v>
      </c>
      <c r="P19" s="346">
        <f t="shared" si="0"/>
        <v>7.733029846716627E-2</v>
      </c>
    </row>
    <row r="20" spans="1:16" s="20" customFormat="1" ht="19.5" customHeight="1" x14ac:dyDescent="0.2">
      <c r="A20" s="5">
        <v>16</v>
      </c>
      <c r="B20" s="34" t="s">
        <v>13</v>
      </c>
      <c r="C20" s="92">
        <v>0</v>
      </c>
      <c r="D20" s="92">
        <v>3300</v>
      </c>
      <c r="E20" s="92">
        <v>0</v>
      </c>
      <c r="F20" s="92">
        <v>0</v>
      </c>
      <c r="G20" s="92">
        <v>875</v>
      </c>
      <c r="H20" s="92">
        <v>6525</v>
      </c>
      <c r="I20" s="92">
        <v>6555</v>
      </c>
      <c r="J20" s="92">
        <v>1824</v>
      </c>
      <c r="K20" s="92">
        <v>5683.98</v>
      </c>
      <c r="L20" s="92">
        <f>7138+2400</f>
        <v>9538</v>
      </c>
      <c r="M20" s="92">
        <f>3671.6</f>
        <v>3671.6</v>
      </c>
      <c r="N20" s="92">
        <v>6667.99</v>
      </c>
      <c r="O20" s="310">
        <f t="shared" si="1"/>
        <v>44640.569999999992</v>
      </c>
      <c r="P20" s="346">
        <f t="shared" si="0"/>
        <v>1.6029986260292121E-2</v>
      </c>
    </row>
    <row r="21" spans="1:16" s="20" customFormat="1" ht="19.5" customHeight="1" x14ac:dyDescent="0.2">
      <c r="A21" s="5">
        <v>17</v>
      </c>
      <c r="B21" s="34" t="s">
        <v>14</v>
      </c>
      <c r="C21" s="92">
        <v>7075.5</v>
      </c>
      <c r="D21" s="92">
        <v>9079.98</v>
      </c>
      <c r="E21" s="92">
        <f>3654.98+3300</f>
        <v>6954.98</v>
      </c>
      <c r="F21" s="92">
        <f>6187+5250</f>
        <v>11437</v>
      </c>
      <c r="G21" s="92">
        <f>5978</f>
        <v>5978</v>
      </c>
      <c r="H21" s="92">
        <v>7424.19</v>
      </c>
      <c r="I21" s="92">
        <f>4413+765+4945.99</f>
        <v>10123.99</v>
      </c>
      <c r="J21" s="92">
        <v>6323</v>
      </c>
      <c r="K21" s="92">
        <f>6433.99+81+90</f>
        <v>6604.99</v>
      </c>
      <c r="L21" s="92">
        <f>8097.99+2880</f>
        <v>10977.99</v>
      </c>
      <c r="M21" s="92">
        <f>2105+14924</f>
        <v>17029</v>
      </c>
      <c r="N21" s="92">
        <v>14054.99</v>
      </c>
      <c r="O21" s="310">
        <f t="shared" si="1"/>
        <v>113063.61000000002</v>
      </c>
      <c r="P21" s="346">
        <f t="shared" si="0"/>
        <v>4.0600021792710696E-2</v>
      </c>
    </row>
    <row r="22" spans="1:16" s="20" customFormat="1" ht="19.5" customHeight="1" x14ac:dyDescent="0.2">
      <c r="A22" s="5">
        <v>18</v>
      </c>
      <c r="B22" s="34" t="s">
        <v>15</v>
      </c>
      <c r="C22" s="92">
        <v>0</v>
      </c>
      <c r="D22" s="92">
        <f>1880+539.99</f>
        <v>2419.9899999999998</v>
      </c>
      <c r="E22" s="92">
        <f>539+550</f>
        <v>1089</v>
      </c>
      <c r="F22" s="92">
        <f>1200</f>
        <v>1200</v>
      </c>
      <c r="G22" s="92">
        <v>0</v>
      </c>
      <c r="H22" s="92">
        <v>0</v>
      </c>
      <c r="I22" s="92">
        <v>0</v>
      </c>
      <c r="J22" s="92">
        <v>0</v>
      </c>
      <c r="K22" s="92">
        <v>3217.6</v>
      </c>
      <c r="L22" s="92">
        <v>0</v>
      </c>
      <c r="M22" s="92">
        <v>2963.19</v>
      </c>
      <c r="N22" s="92">
        <v>0</v>
      </c>
      <c r="O22" s="310">
        <f t="shared" si="1"/>
        <v>10889.78</v>
      </c>
      <c r="P22" s="346">
        <f t="shared" si="0"/>
        <v>3.9104120708495426E-3</v>
      </c>
    </row>
    <row r="23" spans="1:16" s="52" customFormat="1" ht="21.75" customHeight="1" x14ac:dyDescent="0.2">
      <c r="A23" s="94">
        <v>5.4166666666666669E-2</v>
      </c>
      <c r="B23" s="95" t="s">
        <v>22</v>
      </c>
      <c r="C23" s="96">
        <f t="shared" ref="C23:N23" si="2">SUM(C5:C22)</f>
        <v>246727.93549999999</v>
      </c>
      <c r="D23" s="96">
        <f t="shared" si="2"/>
        <v>266632.24</v>
      </c>
      <c r="E23" s="96">
        <f t="shared" si="2"/>
        <v>149323.75</v>
      </c>
      <c r="F23" s="96">
        <f t="shared" si="2"/>
        <v>264005.88</v>
      </c>
      <c r="G23" s="96">
        <f t="shared" si="2"/>
        <v>203817.59000000003</v>
      </c>
      <c r="H23" s="96">
        <f t="shared" si="2"/>
        <v>217680.56000000003</v>
      </c>
      <c r="I23" s="96">
        <f t="shared" si="2"/>
        <v>189364.62</v>
      </c>
      <c r="J23" s="96">
        <f t="shared" si="2"/>
        <v>244240.48</v>
      </c>
      <c r="K23" s="96">
        <f t="shared" si="2"/>
        <v>189901.93</v>
      </c>
      <c r="L23" s="96">
        <f t="shared" si="2"/>
        <v>272169.99</v>
      </c>
      <c r="M23" s="96">
        <f t="shared" si="2"/>
        <v>261553.36000000004</v>
      </c>
      <c r="N23" s="96">
        <f t="shared" si="2"/>
        <v>279398.15000000002</v>
      </c>
      <c r="O23" s="311">
        <f t="shared" si="1"/>
        <v>2784816.4855</v>
      </c>
      <c r="P23" s="347">
        <f t="shared" si="0"/>
        <v>1</v>
      </c>
    </row>
    <row r="24" spans="1:16" s="20" customFormat="1" ht="19.5" customHeight="1" x14ac:dyDescent="0.2">
      <c r="A24" s="6">
        <v>19</v>
      </c>
      <c r="B24" s="34" t="s">
        <v>16</v>
      </c>
      <c r="C24" s="93"/>
      <c r="D24" s="93"/>
      <c r="E24" s="93"/>
      <c r="F24" s="93"/>
      <c r="G24" s="93"/>
      <c r="H24" s="93"/>
      <c r="I24" s="93"/>
      <c r="J24" s="93"/>
      <c r="K24" s="93">
        <v>13709.98</v>
      </c>
      <c r="L24" s="93">
        <v>11410</v>
      </c>
      <c r="M24" s="93">
        <f>12423+13510+6059</f>
        <v>31992</v>
      </c>
      <c r="N24" s="93">
        <f>1000+840+21436.95</f>
        <v>23276.95</v>
      </c>
      <c r="O24" s="312">
        <f t="shared" si="1"/>
        <v>80388.929999999993</v>
      </c>
      <c r="P24" s="348">
        <f t="shared" si="0"/>
        <v>2.8866868039086089E-2</v>
      </c>
    </row>
    <row r="25" spans="1:16" s="20" customFormat="1" ht="19.5" customHeight="1" x14ac:dyDescent="0.2">
      <c r="A25" s="6">
        <v>20</v>
      </c>
      <c r="B25" s="34" t="s">
        <v>17</v>
      </c>
      <c r="C25" s="93"/>
      <c r="D25" s="93"/>
      <c r="E25" s="93"/>
      <c r="F25" s="93"/>
      <c r="G25" s="93"/>
      <c r="H25" s="93"/>
      <c r="I25" s="93"/>
      <c r="J25" s="93"/>
      <c r="K25" s="93">
        <v>0</v>
      </c>
      <c r="L25" s="93">
        <v>0</v>
      </c>
      <c r="M25" s="93">
        <v>0</v>
      </c>
      <c r="N25" s="93">
        <v>0</v>
      </c>
      <c r="O25" s="312">
        <f t="shared" si="1"/>
        <v>0</v>
      </c>
      <c r="P25" s="348">
        <f t="shared" si="0"/>
        <v>0</v>
      </c>
    </row>
    <row r="26" spans="1:16" s="52" customFormat="1" ht="21" customHeight="1" x14ac:dyDescent="0.2">
      <c r="A26" s="97" t="s">
        <v>55</v>
      </c>
      <c r="B26" s="98" t="s">
        <v>23</v>
      </c>
      <c r="C26" s="99">
        <f>C24+C25</f>
        <v>0</v>
      </c>
      <c r="D26" s="99">
        <f t="shared" ref="D26:N26" si="3">D24+D25</f>
        <v>0</v>
      </c>
      <c r="E26" s="99">
        <f t="shared" si="3"/>
        <v>0</v>
      </c>
      <c r="F26" s="99">
        <f t="shared" si="3"/>
        <v>0</v>
      </c>
      <c r="G26" s="99">
        <f t="shared" si="3"/>
        <v>0</v>
      </c>
      <c r="H26" s="99">
        <f t="shared" si="3"/>
        <v>0</v>
      </c>
      <c r="I26" s="99">
        <f t="shared" si="3"/>
        <v>0</v>
      </c>
      <c r="J26" s="99">
        <f t="shared" si="3"/>
        <v>0</v>
      </c>
      <c r="K26" s="99">
        <v>13709.98</v>
      </c>
      <c r="L26" s="99">
        <f t="shared" si="3"/>
        <v>11410</v>
      </c>
      <c r="M26" s="99">
        <f t="shared" si="3"/>
        <v>31992</v>
      </c>
      <c r="N26" s="99">
        <f t="shared" si="3"/>
        <v>23276.95</v>
      </c>
      <c r="O26" s="313">
        <f t="shared" si="1"/>
        <v>80388.929999999993</v>
      </c>
      <c r="P26" s="349">
        <f t="shared" si="0"/>
        <v>2.8866868039086089E-2</v>
      </c>
    </row>
    <row r="27" spans="1:16" s="135" customFormat="1" ht="22.5" customHeight="1" x14ac:dyDescent="0.2">
      <c r="A27" s="156" t="s">
        <v>26</v>
      </c>
      <c r="B27" s="160" t="s">
        <v>25</v>
      </c>
      <c r="C27" s="159">
        <f>C23+C26</f>
        <v>246727.93549999999</v>
      </c>
      <c r="D27" s="159">
        <f t="shared" ref="D27:N27" si="4">D23+D26</f>
        <v>266632.24</v>
      </c>
      <c r="E27" s="159">
        <f t="shared" si="4"/>
        <v>149323.75</v>
      </c>
      <c r="F27" s="159">
        <f t="shared" si="4"/>
        <v>264005.88</v>
      </c>
      <c r="G27" s="159">
        <f t="shared" si="4"/>
        <v>203817.59000000003</v>
      </c>
      <c r="H27" s="159">
        <f t="shared" si="4"/>
        <v>217680.56000000003</v>
      </c>
      <c r="I27" s="159">
        <f t="shared" si="4"/>
        <v>189364.62</v>
      </c>
      <c r="J27" s="159">
        <f t="shared" si="4"/>
        <v>244240.48</v>
      </c>
      <c r="K27" s="159">
        <f t="shared" si="4"/>
        <v>203611.91</v>
      </c>
      <c r="L27" s="159">
        <f t="shared" si="4"/>
        <v>283579.99</v>
      </c>
      <c r="M27" s="159">
        <f t="shared" si="4"/>
        <v>293545.36000000004</v>
      </c>
      <c r="N27" s="159">
        <f t="shared" si="4"/>
        <v>302675.10000000003</v>
      </c>
      <c r="O27" s="159">
        <f t="shared" si="1"/>
        <v>2865205.4155000001</v>
      </c>
      <c r="P27" s="336">
        <f t="shared" si="0"/>
        <v>1.0288668680390862</v>
      </c>
    </row>
    <row r="28" spans="1:16" ht="13.5" customHeight="1" x14ac:dyDescent="0.5"/>
    <row r="29" spans="1:16" ht="13.5" customHeight="1" x14ac:dyDescent="0.5"/>
    <row r="30" spans="1:16" ht="13.5" customHeight="1" x14ac:dyDescent="0.5">
      <c r="G30" s="361" t="s">
        <v>73</v>
      </c>
      <c r="H30" s="361"/>
      <c r="I30" s="361"/>
      <c r="J30" s="56"/>
      <c r="K30" s="56"/>
      <c r="L30" s="361" t="s">
        <v>50</v>
      </c>
      <c r="M30" s="361"/>
      <c r="N30" s="361"/>
    </row>
    <row r="31" spans="1:16" ht="18.75" customHeight="1" x14ac:dyDescent="0.5">
      <c r="G31" s="56"/>
      <c r="H31" s="56" t="s">
        <v>51</v>
      </c>
      <c r="I31" s="56"/>
      <c r="J31" s="56"/>
      <c r="K31" s="56"/>
      <c r="L31" s="57"/>
      <c r="M31" s="56" t="s">
        <v>52</v>
      </c>
      <c r="N31" s="58"/>
    </row>
    <row r="32" spans="1:16" ht="18.75" customHeight="1" x14ac:dyDescent="0.5">
      <c r="G32" s="56"/>
      <c r="H32" s="57" t="s">
        <v>53</v>
      </c>
      <c r="I32" s="57"/>
      <c r="J32" s="57"/>
      <c r="K32" s="56"/>
      <c r="L32" s="57"/>
      <c r="M32" s="56" t="s">
        <v>54</v>
      </c>
      <c r="N32" s="58"/>
    </row>
    <row r="33" spans="7:14" ht="18.75" customHeight="1" x14ac:dyDescent="0.5">
      <c r="G33" s="57"/>
      <c r="H33" s="57"/>
      <c r="I33" s="57"/>
      <c r="J33" s="57"/>
      <c r="K33" s="56"/>
      <c r="L33" s="57"/>
      <c r="M33" s="57"/>
      <c r="N33" s="59"/>
    </row>
  </sheetData>
  <mergeCells count="2">
    <mergeCell ref="G30:I30"/>
    <mergeCell ref="L30:N30"/>
  </mergeCells>
  <printOptions horizontalCentered="1"/>
  <pageMargins left="0" right="0" top="0.55118110236220474" bottom="0.35433070866141736" header="0.11811023622047245" footer="0.11811023622047245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showGridLines="0" zoomScaleNormal="100" workbookViewId="0">
      <selection activeCell="C22" sqref="C22"/>
    </sheetView>
  </sheetViews>
  <sheetFormatPr defaultRowHeight="18" customHeight="1" x14ac:dyDescent="0.45"/>
  <cols>
    <col min="1" max="1" width="5.5" style="114" customWidth="1"/>
    <col min="2" max="2" width="16.5" style="114" customWidth="1"/>
    <col min="3" max="14" width="8.25" style="114" customWidth="1"/>
    <col min="15" max="15" width="8.25" style="167" customWidth="1"/>
    <col min="16" max="16" width="9.5" style="341" customWidth="1"/>
    <col min="17" max="16384" width="9" style="114"/>
  </cols>
  <sheetData>
    <row r="1" spans="1:17" s="177" customFormat="1" ht="21" customHeight="1" x14ac:dyDescent="0.45">
      <c r="A1" s="176"/>
      <c r="C1" s="178"/>
      <c r="D1" s="179" t="s">
        <v>65</v>
      </c>
      <c r="E1" s="178"/>
      <c r="F1" s="178"/>
      <c r="G1" s="178"/>
      <c r="H1" s="178"/>
      <c r="K1" s="179" t="s">
        <v>56</v>
      </c>
      <c r="L1" s="178"/>
      <c r="M1" s="178"/>
      <c r="N1" s="178"/>
      <c r="O1" s="178"/>
      <c r="P1" s="340"/>
      <c r="Q1" s="180"/>
    </row>
    <row r="2" spans="1:17" s="177" customFormat="1" ht="21" customHeight="1" x14ac:dyDescent="0.45">
      <c r="A2" s="176"/>
      <c r="C2" s="179" t="str">
        <f>'[1]1.1.ยา(ทั่วไป)'!C2</f>
        <v>จาก ฝ่ายเภสัชกรรมชุมชน  โรงพยาบาลกุมภวาปี</v>
      </c>
      <c r="D2" s="178"/>
      <c r="F2" s="178"/>
      <c r="G2" s="178"/>
      <c r="I2" s="178"/>
      <c r="J2" s="178"/>
      <c r="K2" s="178"/>
      <c r="M2" s="181"/>
      <c r="N2" s="182"/>
      <c r="O2" s="183"/>
      <c r="P2" s="340"/>
      <c r="Q2" s="180"/>
    </row>
    <row r="3" spans="1:17" s="172" customFormat="1" ht="4.5" customHeight="1" x14ac:dyDescent="0.45">
      <c r="O3" s="170"/>
      <c r="P3" s="341"/>
    </row>
    <row r="4" spans="1:17" s="172" customFormat="1" ht="18" customHeight="1" x14ac:dyDescent="0.45">
      <c r="A4" s="173" t="s">
        <v>0</v>
      </c>
      <c r="B4" s="174" t="s">
        <v>1</v>
      </c>
      <c r="C4" s="174" t="s">
        <v>27</v>
      </c>
      <c r="D4" s="174" t="s">
        <v>28</v>
      </c>
      <c r="E4" s="174" t="s">
        <v>29</v>
      </c>
      <c r="F4" s="174" t="s">
        <v>30</v>
      </c>
      <c r="G4" s="174" t="s">
        <v>31</v>
      </c>
      <c r="H4" s="174" t="s">
        <v>32</v>
      </c>
      <c r="I4" s="174" t="s">
        <v>33</v>
      </c>
      <c r="J4" s="174" t="s">
        <v>34</v>
      </c>
      <c r="K4" s="174" t="s">
        <v>35</v>
      </c>
      <c r="L4" s="174" t="s">
        <v>36</v>
      </c>
      <c r="M4" s="174" t="s">
        <v>37</v>
      </c>
      <c r="N4" s="174" t="s">
        <v>38</v>
      </c>
      <c r="O4" s="174" t="s">
        <v>39</v>
      </c>
      <c r="P4" s="342" t="s">
        <v>40</v>
      </c>
    </row>
    <row r="5" spans="1:17" ht="18" customHeight="1" x14ac:dyDescent="0.45">
      <c r="A5" s="116">
        <v>1</v>
      </c>
      <c r="B5" s="117" t="s">
        <v>18</v>
      </c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225"/>
      <c r="P5" s="319" t="e">
        <f t="shared" ref="P5:P27" si="0">O5/$O$23</f>
        <v>#DIV/0!</v>
      </c>
    </row>
    <row r="6" spans="1:17" ht="18" customHeight="1" x14ac:dyDescent="0.45">
      <c r="A6" s="116">
        <v>2</v>
      </c>
      <c r="B6" s="118" t="s">
        <v>19</v>
      </c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225"/>
      <c r="P6" s="319" t="e">
        <f t="shared" si="0"/>
        <v>#DIV/0!</v>
      </c>
    </row>
    <row r="7" spans="1:17" ht="18" customHeight="1" x14ac:dyDescent="0.45">
      <c r="A7" s="116">
        <v>3</v>
      </c>
      <c r="B7" s="118" t="s">
        <v>20</v>
      </c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225"/>
      <c r="P7" s="319" t="e">
        <f t="shared" si="0"/>
        <v>#DIV/0!</v>
      </c>
    </row>
    <row r="8" spans="1:17" ht="18" customHeight="1" x14ac:dyDescent="0.45">
      <c r="A8" s="116">
        <v>4</v>
      </c>
      <c r="B8" s="118" t="s">
        <v>21</v>
      </c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225"/>
      <c r="P8" s="319" t="e">
        <f t="shared" si="0"/>
        <v>#DIV/0!</v>
      </c>
    </row>
    <row r="9" spans="1:17" ht="18" customHeight="1" x14ac:dyDescent="0.45">
      <c r="A9" s="116">
        <v>5</v>
      </c>
      <c r="B9" s="118" t="s">
        <v>2</v>
      </c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225"/>
      <c r="P9" s="319" t="e">
        <f t="shared" si="0"/>
        <v>#DIV/0!</v>
      </c>
    </row>
    <row r="10" spans="1:17" ht="18" customHeight="1" x14ac:dyDescent="0.45">
      <c r="A10" s="116">
        <v>6</v>
      </c>
      <c r="B10" s="118" t="s">
        <v>3</v>
      </c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225"/>
      <c r="P10" s="319" t="e">
        <f t="shared" si="0"/>
        <v>#DIV/0!</v>
      </c>
    </row>
    <row r="11" spans="1:17" ht="18" customHeight="1" x14ac:dyDescent="0.45">
      <c r="A11" s="116">
        <v>7</v>
      </c>
      <c r="B11" s="118" t="s">
        <v>4</v>
      </c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225"/>
      <c r="P11" s="319" t="e">
        <f t="shared" si="0"/>
        <v>#DIV/0!</v>
      </c>
    </row>
    <row r="12" spans="1:17" ht="18" customHeight="1" x14ac:dyDescent="0.45">
      <c r="A12" s="116">
        <v>8</v>
      </c>
      <c r="B12" s="118" t="s">
        <v>5</v>
      </c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225"/>
      <c r="P12" s="319" t="e">
        <f t="shared" si="0"/>
        <v>#DIV/0!</v>
      </c>
    </row>
    <row r="13" spans="1:17" ht="18" customHeight="1" x14ac:dyDescent="0.45">
      <c r="A13" s="116">
        <v>9</v>
      </c>
      <c r="B13" s="118" t="s">
        <v>6</v>
      </c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225"/>
      <c r="P13" s="319" t="e">
        <f t="shared" si="0"/>
        <v>#DIV/0!</v>
      </c>
    </row>
    <row r="14" spans="1:17" ht="18" customHeight="1" x14ac:dyDescent="0.45">
      <c r="A14" s="116">
        <v>10</v>
      </c>
      <c r="B14" s="118" t="s">
        <v>7</v>
      </c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225"/>
      <c r="P14" s="319" t="e">
        <f t="shared" si="0"/>
        <v>#DIV/0!</v>
      </c>
    </row>
    <row r="15" spans="1:17" ht="18" customHeight="1" x14ac:dyDescent="0.45">
      <c r="A15" s="116">
        <v>11</v>
      </c>
      <c r="B15" s="118" t="s">
        <v>8</v>
      </c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225"/>
      <c r="P15" s="319" t="e">
        <f t="shared" si="0"/>
        <v>#DIV/0!</v>
      </c>
    </row>
    <row r="16" spans="1:17" ht="18" customHeight="1" x14ac:dyDescent="0.45">
      <c r="A16" s="116">
        <v>12</v>
      </c>
      <c r="B16" s="118" t="s">
        <v>9</v>
      </c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225"/>
      <c r="P16" s="319" t="e">
        <f t="shared" si="0"/>
        <v>#DIV/0!</v>
      </c>
    </row>
    <row r="17" spans="1:16" ht="18" customHeight="1" x14ac:dyDescent="0.45">
      <c r="A17" s="116">
        <v>13</v>
      </c>
      <c r="B17" s="118" t="s">
        <v>10</v>
      </c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225"/>
      <c r="P17" s="319" t="e">
        <f t="shared" si="0"/>
        <v>#DIV/0!</v>
      </c>
    </row>
    <row r="18" spans="1:16" ht="18" customHeight="1" x14ac:dyDescent="0.45">
      <c r="A18" s="116">
        <v>14</v>
      </c>
      <c r="B18" s="118" t="s">
        <v>11</v>
      </c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225"/>
      <c r="P18" s="319" t="e">
        <f t="shared" si="0"/>
        <v>#DIV/0!</v>
      </c>
    </row>
    <row r="19" spans="1:16" ht="18" customHeight="1" x14ac:dyDescent="0.45">
      <c r="A19" s="116">
        <v>15</v>
      </c>
      <c r="B19" s="118" t="s">
        <v>12</v>
      </c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225"/>
      <c r="P19" s="319" t="e">
        <f t="shared" si="0"/>
        <v>#DIV/0!</v>
      </c>
    </row>
    <row r="20" spans="1:16" ht="18" customHeight="1" x14ac:dyDescent="0.45">
      <c r="A20" s="116">
        <v>16</v>
      </c>
      <c r="B20" s="119" t="s">
        <v>13</v>
      </c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225"/>
      <c r="P20" s="319" t="e">
        <f t="shared" si="0"/>
        <v>#DIV/0!</v>
      </c>
    </row>
    <row r="21" spans="1:16" ht="18" customHeight="1" x14ac:dyDescent="0.45">
      <c r="A21" s="116">
        <v>17</v>
      </c>
      <c r="B21" s="118" t="s">
        <v>14</v>
      </c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225"/>
      <c r="P21" s="319" t="e">
        <f t="shared" si="0"/>
        <v>#DIV/0!</v>
      </c>
    </row>
    <row r="22" spans="1:16" ht="18" customHeight="1" x14ac:dyDescent="0.45">
      <c r="A22" s="116">
        <v>18</v>
      </c>
      <c r="B22" s="118" t="s">
        <v>15</v>
      </c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225"/>
      <c r="P22" s="319" t="e">
        <f t="shared" si="0"/>
        <v>#DIV/0!</v>
      </c>
    </row>
    <row r="23" spans="1:16" s="175" customFormat="1" ht="18" customHeight="1" x14ac:dyDescent="0.45">
      <c r="A23" s="187">
        <v>5.4166666666666669E-2</v>
      </c>
      <c r="B23" s="188" t="s">
        <v>22</v>
      </c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307"/>
      <c r="P23" s="320" t="e">
        <f t="shared" si="0"/>
        <v>#DIV/0!</v>
      </c>
    </row>
    <row r="24" spans="1:16" ht="18" customHeight="1" x14ac:dyDescent="0.45">
      <c r="A24" s="120">
        <v>20</v>
      </c>
      <c r="B24" s="185" t="s">
        <v>16</v>
      </c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308">
        <f t="shared" ref="O24:O27" si="1">SUM(C24:N24)</f>
        <v>0</v>
      </c>
      <c r="P24" s="343" t="e">
        <f t="shared" si="0"/>
        <v>#DIV/0!</v>
      </c>
    </row>
    <row r="25" spans="1:16" ht="18" customHeight="1" x14ac:dyDescent="0.45">
      <c r="A25" s="120">
        <v>21</v>
      </c>
      <c r="B25" s="118" t="s">
        <v>17</v>
      </c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308">
        <f t="shared" si="1"/>
        <v>0</v>
      </c>
      <c r="P25" s="343" t="e">
        <f t="shared" si="0"/>
        <v>#DIV/0!</v>
      </c>
    </row>
    <row r="26" spans="1:16" s="175" customFormat="1" ht="18" customHeight="1" x14ac:dyDescent="0.45">
      <c r="A26" s="190" t="s">
        <v>24</v>
      </c>
      <c r="B26" s="191" t="s">
        <v>23</v>
      </c>
      <c r="C26" s="192">
        <f>C24+C25</f>
        <v>0</v>
      </c>
      <c r="D26" s="192">
        <f t="shared" ref="D26:N26" si="2">D24+D25</f>
        <v>0</v>
      </c>
      <c r="E26" s="192">
        <f t="shared" si="2"/>
        <v>0</v>
      </c>
      <c r="F26" s="192">
        <f t="shared" si="2"/>
        <v>0</v>
      </c>
      <c r="G26" s="192">
        <f t="shared" si="2"/>
        <v>0</v>
      </c>
      <c r="H26" s="192">
        <f t="shared" si="2"/>
        <v>0</v>
      </c>
      <c r="I26" s="192">
        <f t="shared" si="2"/>
        <v>0</v>
      </c>
      <c r="J26" s="192">
        <f t="shared" si="2"/>
        <v>0</v>
      </c>
      <c r="K26" s="192">
        <f t="shared" si="2"/>
        <v>0</v>
      </c>
      <c r="L26" s="192">
        <f t="shared" si="2"/>
        <v>0</v>
      </c>
      <c r="M26" s="192">
        <f t="shared" si="2"/>
        <v>0</v>
      </c>
      <c r="N26" s="192">
        <f t="shared" si="2"/>
        <v>0</v>
      </c>
      <c r="O26" s="309">
        <f t="shared" si="1"/>
        <v>0</v>
      </c>
      <c r="P26" s="324" t="e">
        <f t="shared" si="0"/>
        <v>#DIV/0!</v>
      </c>
    </row>
    <row r="27" spans="1:16" s="212" customFormat="1" ht="18" customHeight="1" x14ac:dyDescent="0.45">
      <c r="A27" s="210" t="s">
        <v>26</v>
      </c>
      <c r="B27" s="211" t="s">
        <v>25</v>
      </c>
      <c r="C27" s="206">
        <f>C23+C26</f>
        <v>0</v>
      </c>
      <c r="D27" s="206">
        <f t="shared" ref="D27:N27" si="3">D23+D26</f>
        <v>0</v>
      </c>
      <c r="E27" s="206">
        <f t="shared" si="3"/>
        <v>0</v>
      </c>
      <c r="F27" s="206">
        <f t="shared" si="3"/>
        <v>0</v>
      </c>
      <c r="G27" s="206">
        <f t="shared" si="3"/>
        <v>0</v>
      </c>
      <c r="H27" s="206">
        <f t="shared" si="3"/>
        <v>0</v>
      </c>
      <c r="I27" s="206">
        <f t="shared" si="3"/>
        <v>0</v>
      </c>
      <c r="J27" s="206">
        <f t="shared" si="3"/>
        <v>0</v>
      </c>
      <c r="K27" s="206">
        <f t="shared" si="3"/>
        <v>0</v>
      </c>
      <c r="L27" s="206">
        <f t="shared" si="3"/>
        <v>0</v>
      </c>
      <c r="M27" s="206">
        <f t="shared" si="3"/>
        <v>0</v>
      </c>
      <c r="N27" s="206">
        <f t="shared" si="3"/>
        <v>0</v>
      </c>
      <c r="O27" s="206">
        <f t="shared" si="1"/>
        <v>0</v>
      </c>
      <c r="P27" s="344" t="e">
        <f t="shared" si="0"/>
        <v>#DIV/0!</v>
      </c>
    </row>
    <row r="30" spans="1:16" ht="18" customHeight="1" x14ac:dyDescent="0.45">
      <c r="G30" s="15"/>
      <c r="H30" s="16" t="s">
        <v>49</v>
      </c>
      <c r="I30" s="15"/>
      <c r="J30" s="15"/>
      <c r="K30" s="15"/>
      <c r="L30" s="17"/>
      <c r="M30" s="15" t="s">
        <v>50</v>
      </c>
      <c r="N30" s="18"/>
    </row>
    <row r="31" spans="1:16" ht="18" customHeight="1" x14ac:dyDescent="0.45">
      <c r="G31" s="15"/>
      <c r="H31" s="15" t="s">
        <v>51</v>
      </c>
      <c r="I31" s="15"/>
      <c r="J31" s="15"/>
      <c r="K31" s="15"/>
      <c r="L31" s="17"/>
      <c r="M31" s="15" t="s">
        <v>52</v>
      </c>
      <c r="N31" s="18"/>
    </row>
    <row r="32" spans="1:16" ht="18" customHeight="1" x14ac:dyDescent="0.45">
      <c r="G32" s="15"/>
      <c r="H32" s="17" t="s">
        <v>53</v>
      </c>
      <c r="I32" s="17"/>
      <c r="J32" s="17"/>
      <c r="K32" s="15"/>
      <c r="L32" s="17"/>
      <c r="M32" s="15" t="s">
        <v>54</v>
      </c>
      <c r="N32" s="18"/>
    </row>
    <row r="33" spans="7:14" ht="18" customHeight="1" x14ac:dyDescent="0.45">
      <c r="G33" s="17"/>
      <c r="H33" s="17"/>
      <c r="I33" s="17"/>
      <c r="J33" s="17"/>
      <c r="K33" s="15"/>
      <c r="L33" s="17"/>
      <c r="M33" s="17"/>
      <c r="N33" s="19"/>
    </row>
  </sheetData>
  <printOptions horizontalCentered="1"/>
  <pageMargins left="0" right="0" top="0.55118110236220474" bottom="0.35433070866141736" header="0.19685039370078741" footer="0.11811023622047245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showGridLines="0" tabSelected="1" topLeftCell="A10" zoomScaleNormal="100" workbookViewId="0">
      <selection activeCell="P17" sqref="P17"/>
    </sheetView>
  </sheetViews>
  <sheetFormatPr defaultRowHeight="16.5" customHeight="1" x14ac:dyDescent="0.2"/>
  <cols>
    <col min="1" max="1" width="4.875" style="27" customWidth="1"/>
    <col min="2" max="2" width="15.375" style="127" customWidth="1"/>
    <col min="3" max="8" width="8.375" style="125" customWidth="1"/>
    <col min="9" max="14" width="7.625" style="125" customWidth="1"/>
    <col min="15" max="15" width="9.25" style="284" customWidth="1"/>
    <col min="16" max="16" width="14.5" style="329" customWidth="1"/>
    <col min="17" max="16384" width="9" style="27"/>
  </cols>
  <sheetData>
    <row r="1" spans="1:17" s="68" customFormat="1" ht="19.5" customHeight="1" x14ac:dyDescent="0.2">
      <c r="A1" s="80"/>
      <c r="B1" s="81"/>
      <c r="C1" s="148"/>
      <c r="D1" s="149" t="s">
        <v>66</v>
      </c>
      <c r="E1" s="148"/>
      <c r="F1" s="148"/>
      <c r="G1" s="148"/>
      <c r="H1" s="148"/>
      <c r="I1" s="67"/>
      <c r="J1" s="67"/>
      <c r="K1" s="149" t="str">
        <f>สรุปยอด!C3</f>
        <v xml:space="preserve"> ปีงบประมาณ   2561</v>
      </c>
      <c r="L1" s="148"/>
      <c r="M1" s="148"/>
      <c r="N1" s="148"/>
      <c r="O1" s="148"/>
      <c r="P1" s="328"/>
      <c r="Q1" s="83"/>
    </row>
    <row r="2" spans="1:17" s="68" customFormat="1" ht="19.5" customHeight="1" x14ac:dyDescent="0.2">
      <c r="A2" s="80"/>
      <c r="B2" s="81"/>
      <c r="C2" s="149" t="str">
        <f>'[1]1.1.ยา(ทั่วไป)'!C2</f>
        <v>จาก ฝ่ายเภสัชกรรมชุมชน  โรงพยาบาลกุมภวาปี</v>
      </c>
      <c r="D2" s="148"/>
      <c r="E2" s="67"/>
      <c r="F2" s="148"/>
      <c r="G2" s="148"/>
      <c r="H2" s="67"/>
      <c r="I2" s="148"/>
      <c r="J2" s="148"/>
      <c r="K2" s="148"/>
      <c r="L2" s="67"/>
      <c r="M2" s="150"/>
      <c r="N2" s="151" t="str">
        <f>สรุปยอด!D4</f>
        <v xml:space="preserve">รายงานข้อมูลณ วันที่ 28/9/61 </v>
      </c>
      <c r="O2" s="148"/>
      <c r="P2" s="328"/>
      <c r="Q2" s="83"/>
    </row>
    <row r="3" spans="1:17" ht="4.5" customHeight="1" x14ac:dyDescent="0.2"/>
    <row r="4" spans="1:17" ht="36" customHeight="1" x14ac:dyDescent="0.2">
      <c r="A4" s="25" t="s">
        <v>0</v>
      </c>
      <c r="B4" s="26" t="s">
        <v>1</v>
      </c>
      <c r="C4" s="108" t="s">
        <v>27</v>
      </c>
      <c r="D4" s="108" t="s">
        <v>28</v>
      </c>
      <c r="E4" s="108" t="s">
        <v>29</v>
      </c>
      <c r="F4" s="108" t="s">
        <v>30</v>
      </c>
      <c r="G4" s="108" t="s">
        <v>31</v>
      </c>
      <c r="H4" s="108" t="s">
        <v>32</v>
      </c>
      <c r="I4" s="108" t="s">
        <v>33</v>
      </c>
      <c r="J4" s="108" t="s">
        <v>34</v>
      </c>
      <c r="K4" s="108" t="s">
        <v>35</v>
      </c>
      <c r="L4" s="108" t="s">
        <v>36</v>
      </c>
      <c r="M4" s="108" t="s">
        <v>37</v>
      </c>
      <c r="N4" s="108" t="s">
        <v>38</v>
      </c>
      <c r="O4" s="199" t="s">
        <v>39</v>
      </c>
      <c r="P4" s="323" t="s">
        <v>40</v>
      </c>
    </row>
    <row r="5" spans="1:17" ht="18" customHeight="1" x14ac:dyDescent="0.2">
      <c r="A5" s="25">
        <v>1</v>
      </c>
      <c r="B5" s="26" t="s">
        <v>18</v>
      </c>
      <c r="C5" s="129">
        <v>9273.77</v>
      </c>
      <c r="D5" s="129">
        <v>8229.5499999999993</v>
      </c>
      <c r="E5" s="129">
        <v>6545.42</v>
      </c>
      <c r="F5" s="129">
        <v>4411.53</v>
      </c>
      <c r="G5" s="129">
        <v>8578.3700000000008</v>
      </c>
      <c r="H5" s="129">
        <v>17117.12</v>
      </c>
      <c r="I5" s="129">
        <v>11260.19</v>
      </c>
      <c r="J5" s="129">
        <v>13546.19</v>
      </c>
      <c r="K5" s="129">
        <v>10445.75</v>
      </c>
      <c r="L5" s="129">
        <v>9127.06</v>
      </c>
      <c r="M5" s="129">
        <v>5780.72</v>
      </c>
      <c r="N5" s="129">
        <f>11740.68+14808.74</f>
        <v>26549.42</v>
      </c>
      <c r="O5" s="303">
        <f>SUM(C5:N5)</f>
        <v>130865.09</v>
      </c>
      <c r="P5" s="290">
        <f t="shared" ref="P5:P27" si="0">O5/$O$23</f>
        <v>9.1744082803420737E-2</v>
      </c>
    </row>
    <row r="6" spans="1:17" ht="18" customHeight="1" x14ac:dyDescent="0.2">
      <c r="A6" s="25">
        <v>2</v>
      </c>
      <c r="B6" s="26" t="s">
        <v>19</v>
      </c>
      <c r="C6" s="129">
        <v>3464.33</v>
      </c>
      <c r="D6" s="129">
        <v>4213.3599999999997</v>
      </c>
      <c r="E6" s="129">
        <v>3240.06</v>
      </c>
      <c r="F6" s="129">
        <v>4630.79</v>
      </c>
      <c r="G6" s="129">
        <v>23503.84</v>
      </c>
      <c r="H6" s="129">
        <v>5699.97</v>
      </c>
      <c r="I6" s="129">
        <v>6843.9</v>
      </c>
      <c r="J6" s="129">
        <v>9013.26</v>
      </c>
      <c r="K6" s="129">
        <v>7164.71</v>
      </c>
      <c r="L6" s="129">
        <v>7129.45</v>
      </c>
      <c r="M6" s="129">
        <v>9230.1</v>
      </c>
      <c r="N6" s="129">
        <f>6283.08+8386.2</f>
        <v>14669.28</v>
      </c>
      <c r="O6" s="303">
        <f t="shared" ref="O6:O27" si="1">SUM(C6:N6)</f>
        <v>98803.050000000017</v>
      </c>
      <c r="P6" s="290">
        <f t="shared" si="0"/>
        <v>6.9266717353195728E-2</v>
      </c>
    </row>
    <row r="7" spans="1:17" ht="18" customHeight="1" x14ac:dyDescent="0.2">
      <c r="A7" s="25">
        <v>3</v>
      </c>
      <c r="B7" s="26" t="s">
        <v>20</v>
      </c>
      <c r="C7" s="129">
        <v>3054.89</v>
      </c>
      <c r="D7" s="129">
        <v>3199.2</v>
      </c>
      <c r="E7" s="129">
        <v>2642.64</v>
      </c>
      <c r="F7" s="129">
        <v>2535.09</v>
      </c>
      <c r="G7" s="129">
        <v>3285.36</v>
      </c>
      <c r="H7" s="129">
        <v>6397.28</v>
      </c>
      <c r="I7" s="129">
        <v>3771.01</v>
      </c>
      <c r="J7" s="129">
        <v>4298.24</v>
      </c>
      <c r="K7" s="129">
        <v>1716.22</v>
      </c>
      <c r="L7" s="129">
        <v>2218.9699999999998</v>
      </c>
      <c r="M7" s="129">
        <v>3782.52</v>
      </c>
      <c r="N7" s="129">
        <f>3074.94+5192.58</f>
        <v>8267.52</v>
      </c>
      <c r="O7" s="303">
        <f t="shared" si="1"/>
        <v>45168.94</v>
      </c>
      <c r="P7" s="290">
        <f t="shared" si="0"/>
        <v>3.1666069014301246E-2</v>
      </c>
    </row>
    <row r="8" spans="1:17" ht="18" customHeight="1" x14ac:dyDescent="0.2">
      <c r="A8" s="25">
        <v>4</v>
      </c>
      <c r="B8" s="26" t="s">
        <v>21</v>
      </c>
      <c r="C8" s="129">
        <v>11823.36</v>
      </c>
      <c r="D8" s="129">
        <v>22237.1</v>
      </c>
      <c r="E8" s="129">
        <v>19988.259999999998</v>
      </c>
      <c r="F8" s="129">
        <v>8797.15</v>
      </c>
      <c r="G8" s="129">
        <v>13644.21</v>
      </c>
      <c r="H8" s="129">
        <v>8331.34</v>
      </c>
      <c r="I8" s="129">
        <v>10595.74</v>
      </c>
      <c r="J8" s="129">
        <v>6629.65</v>
      </c>
      <c r="K8" s="129">
        <f>98398.08+9580.52</f>
        <v>107978.6</v>
      </c>
      <c r="L8" s="129">
        <v>8699.26</v>
      </c>
      <c r="M8" s="129">
        <v>8055.29</v>
      </c>
      <c r="N8" s="129">
        <v>10468.56</v>
      </c>
      <c r="O8" s="303">
        <f t="shared" si="1"/>
        <v>237248.52000000002</v>
      </c>
      <c r="P8" s="290">
        <f t="shared" si="0"/>
        <v>0.16632508993704145</v>
      </c>
    </row>
    <row r="9" spans="1:17" ht="18" customHeight="1" x14ac:dyDescent="0.2">
      <c r="A9" s="25">
        <v>5</v>
      </c>
      <c r="B9" s="26" t="s">
        <v>2</v>
      </c>
      <c r="C9" s="129">
        <v>6223.45</v>
      </c>
      <c r="D9" s="129">
        <v>4317.72</v>
      </c>
      <c r="E9" s="129">
        <v>0</v>
      </c>
      <c r="F9" s="129">
        <v>6979.33</v>
      </c>
      <c r="G9" s="129">
        <v>4031.71</v>
      </c>
      <c r="H9" s="129">
        <v>3038.95</v>
      </c>
      <c r="I9" s="129">
        <v>3285.26</v>
      </c>
      <c r="J9" s="129">
        <v>6823.85</v>
      </c>
      <c r="K9" s="129">
        <v>5909.72</v>
      </c>
      <c r="L9" s="129">
        <v>0</v>
      </c>
      <c r="M9" s="129">
        <v>12569.77</v>
      </c>
      <c r="N9" s="129">
        <v>11103.91</v>
      </c>
      <c r="O9" s="303">
        <f t="shared" si="1"/>
        <v>64283.67</v>
      </c>
      <c r="P9" s="290">
        <f t="shared" si="0"/>
        <v>4.5066612825374393E-2</v>
      </c>
    </row>
    <row r="10" spans="1:17" ht="18" customHeight="1" x14ac:dyDescent="0.2">
      <c r="A10" s="25">
        <v>6</v>
      </c>
      <c r="B10" s="26" t="s">
        <v>3</v>
      </c>
      <c r="C10" s="129">
        <v>4712.29</v>
      </c>
      <c r="D10" s="129">
        <v>6280.1</v>
      </c>
      <c r="E10" s="129">
        <v>13676.75</v>
      </c>
      <c r="F10" s="129">
        <v>5588.68</v>
      </c>
      <c r="G10" s="129">
        <v>3526.18</v>
      </c>
      <c r="H10" s="129">
        <v>5268.52</v>
      </c>
      <c r="I10" s="129">
        <v>7411.03</v>
      </c>
      <c r="J10" s="129">
        <v>5270.5</v>
      </c>
      <c r="K10" s="129">
        <v>15084.33</v>
      </c>
      <c r="L10" s="129">
        <v>4330.34</v>
      </c>
      <c r="M10" s="129">
        <v>5503.46</v>
      </c>
      <c r="N10" s="129">
        <v>5784.97</v>
      </c>
      <c r="O10" s="303">
        <f t="shared" si="1"/>
        <v>82437.150000000009</v>
      </c>
      <c r="P10" s="290">
        <f t="shared" si="0"/>
        <v>5.7793264159891819E-2</v>
      </c>
    </row>
    <row r="11" spans="1:17" ht="18" customHeight="1" x14ac:dyDescent="0.2">
      <c r="A11" s="25">
        <v>7</v>
      </c>
      <c r="B11" s="26" t="s">
        <v>4</v>
      </c>
      <c r="C11" s="129">
        <v>5750.92</v>
      </c>
      <c r="D11" s="129">
        <v>0</v>
      </c>
      <c r="E11" s="129">
        <v>2700.33</v>
      </c>
      <c r="F11" s="129">
        <v>7760.94</v>
      </c>
      <c r="G11" s="129">
        <v>6044.37</v>
      </c>
      <c r="H11" s="129">
        <v>5311.53</v>
      </c>
      <c r="I11" s="129">
        <v>5614.03</v>
      </c>
      <c r="J11" s="129">
        <v>1148.6099999999999</v>
      </c>
      <c r="K11" s="129">
        <v>5536.69</v>
      </c>
      <c r="L11" s="129">
        <v>11153.76</v>
      </c>
      <c r="M11" s="129">
        <v>9614.5300000000007</v>
      </c>
      <c r="N11" s="129">
        <f>4472.64+7411.13</f>
        <v>11883.77</v>
      </c>
      <c r="O11" s="303">
        <f t="shared" si="1"/>
        <v>72519.48</v>
      </c>
      <c r="P11" s="290">
        <f t="shared" si="0"/>
        <v>5.0840397373975096E-2</v>
      </c>
    </row>
    <row r="12" spans="1:17" ht="18" customHeight="1" x14ac:dyDescent="0.2">
      <c r="A12" s="25">
        <v>8</v>
      </c>
      <c r="B12" s="26" t="s">
        <v>5</v>
      </c>
      <c r="C12" s="129">
        <v>5695.03</v>
      </c>
      <c r="D12" s="129">
        <v>7327.16</v>
      </c>
      <c r="E12" s="129">
        <v>7324.23</v>
      </c>
      <c r="F12" s="129">
        <v>8971.41</v>
      </c>
      <c r="G12" s="129">
        <v>15422.82</v>
      </c>
      <c r="H12" s="129">
        <v>0</v>
      </c>
      <c r="I12" s="129">
        <v>6886.91</v>
      </c>
      <c r="J12" s="129">
        <v>8902.89</v>
      </c>
      <c r="K12" s="129">
        <v>8676.0400000000009</v>
      </c>
      <c r="L12" s="129">
        <v>11640.93</v>
      </c>
      <c r="M12" s="129">
        <v>7622.38</v>
      </c>
      <c r="N12" s="129">
        <f>8106.66+16160.22</f>
        <v>24266.879999999997</v>
      </c>
      <c r="O12" s="303">
        <f t="shared" si="1"/>
        <v>112736.68</v>
      </c>
      <c r="P12" s="290">
        <f t="shared" si="0"/>
        <v>7.9035007005326993E-2</v>
      </c>
    </row>
    <row r="13" spans="1:17" ht="18" customHeight="1" x14ac:dyDescent="0.2">
      <c r="A13" s="25">
        <v>9</v>
      </c>
      <c r="B13" s="26" t="s">
        <v>6</v>
      </c>
      <c r="C13" s="129">
        <v>4753.5</v>
      </c>
      <c r="D13" s="129">
        <v>3264.59</v>
      </c>
      <c r="E13" s="129">
        <v>6651.28</v>
      </c>
      <c r="F13" s="129">
        <v>5875.53</v>
      </c>
      <c r="G13" s="129">
        <v>6206.41</v>
      </c>
      <c r="H13" s="129">
        <v>0</v>
      </c>
      <c r="I13" s="129">
        <v>3960.98</v>
      </c>
      <c r="J13" s="129">
        <v>21440.74</v>
      </c>
      <c r="K13" s="129">
        <v>5452.58</v>
      </c>
      <c r="L13" s="129">
        <v>2636.1</v>
      </c>
      <c r="M13" s="129">
        <v>2442.06</v>
      </c>
      <c r="N13" s="129">
        <v>2356.4499999999998</v>
      </c>
      <c r="O13" s="303">
        <f t="shared" si="1"/>
        <v>65040.219999999994</v>
      </c>
      <c r="P13" s="290">
        <f t="shared" si="0"/>
        <v>4.5596998628379057E-2</v>
      </c>
    </row>
    <row r="14" spans="1:17" ht="18" customHeight="1" x14ac:dyDescent="0.2">
      <c r="A14" s="25">
        <v>10</v>
      </c>
      <c r="B14" s="26" t="s">
        <v>7</v>
      </c>
      <c r="C14" s="129">
        <v>3272.35</v>
      </c>
      <c r="D14" s="129">
        <v>1696.62</v>
      </c>
      <c r="E14" s="129">
        <v>4176.6499999999996</v>
      </c>
      <c r="F14" s="129">
        <v>5079.16</v>
      </c>
      <c r="G14" s="129">
        <v>7117.99</v>
      </c>
      <c r="H14" s="129">
        <v>1963.45</v>
      </c>
      <c r="I14" s="129">
        <v>3589.13</v>
      </c>
      <c r="J14" s="129">
        <v>0</v>
      </c>
      <c r="K14" s="129">
        <v>4627.3900000000003</v>
      </c>
      <c r="L14" s="129">
        <v>4220.47</v>
      </c>
      <c r="M14" s="129">
        <v>2368.96</v>
      </c>
      <c r="N14" s="129">
        <v>3118.91</v>
      </c>
      <c r="O14" s="303">
        <f t="shared" si="1"/>
        <v>41231.08</v>
      </c>
      <c r="P14" s="290">
        <f t="shared" si="0"/>
        <v>2.8905398816402948E-2</v>
      </c>
    </row>
    <row r="15" spans="1:17" ht="18" customHeight="1" x14ac:dyDescent="0.2">
      <c r="A15" s="25">
        <v>11</v>
      </c>
      <c r="B15" s="26" t="s">
        <v>8</v>
      </c>
      <c r="C15" s="129">
        <v>8685.61</v>
      </c>
      <c r="D15" s="129">
        <v>0</v>
      </c>
      <c r="E15" s="129">
        <v>0</v>
      </c>
      <c r="F15" s="129">
        <v>13658.62</v>
      </c>
      <c r="G15" s="129">
        <v>8855.18</v>
      </c>
      <c r="H15" s="129">
        <v>0</v>
      </c>
      <c r="I15" s="129">
        <v>1792.26</v>
      </c>
      <c r="J15" s="129">
        <v>0</v>
      </c>
      <c r="K15" s="129">
        <v>4331.3500000000004</v>
      </c>
      <c r="L15" s="129">
        <v>5721.42</v>
      </c>
      <c r="M15" s="129">
        <v>5057.0600000000004</v>
      </c>
      <c r="N15" s="129">
        <f>4752.18+3717.52</f>
        <v>8469.7000000000007</v>
      </c>
      <c r="O15" s="303">
        <f t="shared" si="1"/>
        <v>56571.199999999997</v>
      </c>
      <c r="P15" s="290">
        <f t="shared" si="0"/>
        <v>3.9659720228587131E-2</v>
      </c>
    </row>
    <row r="16" spans="1:17" ht="18" customHeight="1" x14ac:dyDescent="0.2">
      <c r="A16" s="25">
        <v>12</v>
      </c>
      <c r="B16" s="26" t="s">
        <v>9</v>
      </c>
      <c r="C16" s="129">
        <v>6663.16</v>
      </c>
      <c r="D16" s="129">
        <v>125.81</v>
      </c>
      <c r="E16" s="129">
        <v>5847.59</v>
      </c>
      <c r="F16" s="129">
        <v>7781.73</v>
      </c>
      <c r="G16" s="129">
        <v>5562.45</v>
      </c>
      <c r="H16" s="129">
        <v>0</v>
      </c>
      <c r="I16" s="129">
        <v>6835.57</v>
      </c>
      <c r="J16" s="129">
        <v>4980.18</v>
      </c>
      <c r="K16" s="129">
        <v>3706.73</v>
      </c>
      <c r="L16" s="129">
        <v>4423.26</v>
      </c>
      <c r="M16" s="129">
        <v>4139.9399999999996</v>
      </c>
      <c r="N16" s="129">
        <v>5931.34</v>
      </c>
      <c r="O16" s="303">
        <f t="shared" si="1"/>
        <v>55997.760000000009</v>
      </c>
      <c r="P16" s="290">
        <f t="shared" si="0"/>
        <v>3.9257705246266081E-2</v>
      </c>
    </row>
    <row r="17" spans="1:16" ht="18" customHeight="1" x14ac:dyDescent="0.2">
      <c r="A17" s="25">
        <v>13</v>
      </c>
      <c r="B17" s="26" t="s">
        <v>10</v>
      </c>
      <c r="C17" s="129">
        <v>2407.37</v>
      </c>
      <c r="D17" s="129">
        <v>3781.31</v>
      </c>
      <c r="E17" s="129">
        <v>7112.37</v>
      </c>
      <c r="F17" s="129">
        <v>3395.97</v>
      </c>
      <c r="G17" s="129">
        <v>11348.5</v>
      </c>
      <c r="H17" s="129">
        <v>12073.75</v>
      </c>
      <c r="I17" s="129">
        <v>3979.01</v>
      </c>
      <c r="J17" s="129">
        <v>2279.66</v>
      </c>
      <c r="K17" s="129">
        <v>6279.22</v>
      </c>
      <c r="L17" s="129">
        <v>7861.55</v>
      </c>
      <c r="M17" s="129">
        <v>749.41</v>
      </c>
      <c r="N17" s="129">
        <f>4193.1+2228.28</f>
        <v>6421.380000000001</v>
      </c>
      <c r="O17" s="303">
        <f t="shared" si="1"/>
        <v>67689.500000000015</v>
      </c>
      <c r="P17" s="290">
        <f t="shared" si="0"/>
        <v>4.7454298873153639E-2</v>
      </c>
    </row>
    <row r="18" spans="1:16" ht="18" customHeight="1" x14ac:dyDescent="0.2">
      <c r="A18" s="25">
        <v>14</v>
      </c>
      <c r="B18" s="26" t="s">
        <v>11</v>
      </c>
      <c r="C18" s="129">
        <v>4998.3900000000003</v>
      </c>
      <c r="D18" s="129">
        <v>3092.74</v>
      </c>
      <c r="E18" s="129">
        <v>5691.81</v>
      </c>
      <c r="F18" s="129">
        <v>3095.17</v>
      </c>
      <c r="G18" s="129">
        <v>8398.1</v>
      </c>
      <c r="H18" s="129">
        <v>760.71</v>
      </c>
      <c r="I18" s="129">
        <v>10462.07</v>
      </c>
      <c r="J18" s="129">
        <v>3545.26</v>
      </c>
      <c r="K18" s="129">
        <v>1213.67</v>
      </c>
      <c r="L18" s="129">
        <v>3186.34</v>
      </c>
      <c r="M18" s="129">
        <v>4098.83</v>
      </c>
      <c r="N18" s="129">
        <v>5187.5200000000004</v>
      </c>
      <c r="O18" s="303">
        <f t="shared" si="1"/>
        <v>53730.61</v>
      </c>
      <c r="P18" s="290">
        <f t="shared" si="0"/>
        <v>3.766830048348499E-2</v>
      </c>
    </row>
    <row r="19" spans="1:16" ht="18" customHeight="1" x14ac:dyDescent="0.2">
      <c r="A19" s="25">
        <v>15</v>
      </c>
      <c r="B19" s="26" t="s">
        <v>12</v>
      </c>
      <c r="C19" s="129">
        <v>6517.54</v>
      </c>
      <c r="D19" s="129">
        <v>5005.9799999999996</v>
      </c>
      <c r="E19" s="129">
        <v>5664.46</v>
      </c>
      <c r="F19" s="129">
        <v>6739.33</v>
      </c>
      <c r="G19" s="129">
        <f>5628.52+7827.12</f>
        <v>13455.64</v>
      </c>
      <c r="H19" s="129">
        <v>5431.79</v>
      </c>
      <c r="I19" s="129">
        <v>6174.6</v>
      </c>
      <c r="J19" s="129">
        <v>8770.56</v>
      </c>
      <c r="K19" s="129">
        <v>3876.32</v>
      </c>
      <c r="L19" s="129">
        <v>5431.11</v>
      </c>
      <c r="M19" s="129">
        <v>5771.36</v>
      </c>
      <c r="N19" s="129">
        <v>4695.22</v>
      </c>
      <c r="O19" s="303">
        <f t="shared" si="1"/>
        <v>77533.909999999989</v>
      </c>
      <c r="P19" s="290">
        <f t="shared" si="0"/>
        <v>5.4355806113861004E-2</v>
      </c>
    </row>
    <row r="20" spans="1:16" ht="18" customHeight="1" x14ac:dyDescent="0.2">
      <c r="A20" s="25">
        <v>16</v>
      </c>
      <c r="B20" s="128" t="s">
        <v>13</v>
      </c>
      <c r="C20" s="129">
        <v>6368.64</v>
      </c>
      <c r="D20" s="129">
        <v>5750.81</v>
      </c>
      <c r="E20" s="129">
        <v>1161.57</v>
      </c>
      <c r="F20" s="129">
        <v>0</v>
      </c>
      <c r="G20" s="129">
        <v>5954.32</v>
      </c>
      <c r="H20" s="129">
        <v>1997.26</v>
      </c>
      <c r="I20" s="129">
        <v>0</v>
      </c>
      <c r="J20" s="129">
        <v>3155.49</v>
      </c>
      <c r="K20" s="129">
        <v>0</v>
      </c>
      <c r="L20" s="129">
        <v>1994.72</v>
      </c>
      <c r="M20" s="129">
        <v>0</v>
      </c>
      <c r="N20" s="129">
        <v>5818.1</v>
      </c>
      <c r="O20" s="303">
        <f t="shared" si="1"/>
        <v>32200.909999999996</v>
      </c>
      <c r="P20" s="290">
        <f t="shared" si="0"/>
        <v>2.2574721443170968E-2</v>
      </c>
    </row>
    <row r="21" spans="1:16" ht="18" customHeight="1" x14ac:dyDescent="0.2">
      <c r="A21" s="25">
        <v>17</v>
      </c>
      <c r="B21" s="26" t="s">
        <v>14</v>
      </c>
      <c r="C21" s="129">
        <v>5543.25</v>
      </c>
      <c r="D21" s="129">
        <v>6791.85</v>
      </c>
      <c r="E21" s="129">
        <v>8230.06</v>
      </c>
      <c r="F21" s="129">
        <v>8557.9699999999993</v>
      </c>
      <c r="G21" s="129">
        <f>12299.76+4104.97</f>
        <v>16404.73</v>
      </c>
      <c r="H21" s="129">
        <v>2713.51</v>
      </c>
      <c r="I21" s="129">
        <v>4186.6899999999996</v>
      </c>
      <c r="J21" s="129">
        <v>5610.27</v>
      </c>
      <c r="K21" s="129">
        <v>13005.67</v>
      </c>
      <c r="L21" s="129">
        <v>6355.24</v>
      </c>
      <c r="M21" s="129">
        <v>5990.17</v>
      </c>
      <c r="N21" s="129">
        <v>16860.650000000001</v>
      </c>
      <c r="O21" s="303">
        <f t="shared" si="1"/>
        <v>100250.06</v>
      </c>
      <c r="P21" s="290">
        <f t="shared" si="0"/>
        <v>7.0281156003391715E-2</v>
      </c>
    </row>
    <row r="22" spans="1:16" ht="18" customHeight="1" x14ac:dyDescent="0.2">
      <c r="A22" s="25">
        <v>18</v>
      </c>
      <c r="B22" s="26" t="s">
        <v>15</v>
      </c>
      <c r="C22" s="129">
        <v>3559.74</v>
      </c>
      <c r="D22" s="129">
        <v>1899.33</v>
      </c>
      <c r="E22" s="129">
        <v>1439.52</v>
      </c>
      <c r="F22" s="129">
        <v>2373.02</v>
      </c>
      <c r="G22" s="129">
        <f>5590.8+569.9</f>
        <v>6160.7</v>
      </c>
      <c r="H22" s="129">
        <v>849.2</v>
      </c>
      <c r="I22" s="129">
        <v>2472.0500000000002</v>
      </c>
      <c r="J22" s="129">
        <v>2699.12</v>
      </c>
      <c r="K22" s="129">
        <v>3368.94</v>
      </c>
      <c r="L22" s="129">
        <v>3761.68</v>
      </c>
      <c r="M22" s="129">
        <v>1044.58</v>
      </c>
      <c r="N22" s="129">
        <v>2478.79</v>
      </c>
      <c r="O22" s="303">
        <f t="shared" si="1"/>
        <v>32106.67</v>
      </c>
      <c r="P22" s="290">
        <f t="shared" si="0"/>
        <v>2.2508653690775017E-2</v>
      </c>
    </row>
    <row r="23" spans="1:16" s="48" customFormat="1" ht="18" customHeight="1" x14ac:dyDescent="0.2">
      <c r="A23" s="45">
        <v>5.4166666666666669E-2</v>
      </c>
      <c r="B23" s="154" t="s">
        <v>22</v>
      </c>
      <c r="C23" s="155">
        <f t="shared" ref="C23:N23" si="2">SUM(C5:C22)</f>
        <v>102767.59</v>
      </c>
      <c r="D23" s="155">
        <f t="shared" si="2"/>
        <v>87213.23</v>
      </c>
      <c r="E23" s="155">
        <f t="shared" si="2"/>
        <v>102093</v>
      </c>
      <c r="F23" s="155">
        <f t="shared" si="2"/>
        <v>106231.42</v>
      </c>
      <c r="G23" s="155">
        <f t="shared" si="2"/>
        <v>167500.88000000003</v>
      </c>
      <c r="H23" s="155">
        <f t="shared" si="2"/>
        <v>76954.379999999976</v>
      </c>
      <c r="I23" s="155">
        <f t="shared" si="2"/>
        <v>99120.430000000008</v>
      </c>
      <c r="J23" s="155">
        <f t="shared" si="2"/>
        <v>108114.47000000002</v>
      </c>
      <c r="K23" s="155">
        <f t="shared" si="2"/>
        <v>208373.93000000005</v>
      </c>
      <c r="L23" s="155">
        <f t="shared" si="2"/>
        <v>99891.659999999989</v>
      </c>
      <c r="M23" s="155">
        <f t="shared" si="2"/>
        <v>93821.14</v>
      </c>
      <c r="N23" s="155">
        <f t="shared" si="2"/>
        <v>174332.37</v>
      </c>
      <c r="O23" s="304">
        <f t="shared" si="1"/>
        <v>1426414.5</v>
      </c>
      <c r="P23" s="291">
        <f t="shared" si="0"/>
        <v>1</v>
      </c>
    </row>
    <row r="24" spans="1:16" ht="18" customHeight="1" x14ac:dyDescent="0.2">
      <c r="A24" s="30">
        <v>20</v>
      </c>
      <c r="B24" s="31" t="s">
        <v>16</v>
      </c>
      <c r="C24" s="130">
        <v>6703.23</v>
      </c>
      <c r="D24" s="130">
        <v>2356.3200000000002</v>
      </c>
      <c r="E24" s="130">
        <v>2816.13</v>
      </c>
      <c r="F24" s="130">
        <v>2033.7</v>
      </c>
      <c r="G24" s="130">
        <v>3902.44</v>
      </c>
      <c r="H24" s="130">
        <v>1765.63</v>
      </c>
      <c r="I24" s="130">
        <v>2358.15</v>
      </c>
      <c r="J24" s="130">
        <v>3339.63</v>
      </c>
      <c r="K24" s="130">
        <v>1584.76</v>
      </c>
      <c r="L24" s="130">
        <v>2137.35</v>
      </c>
      <c r="M24" s="130">
        <v>3341.43</v>
      </c>
      <c r="N24" s="130">
        <f>3634.02+6302.33</f>
        <v>9936.35</v>
      </c>
      <c r="O24" s="305">
        <f t="shared" si="1"/>
        <v>42275.12</v>
      </c>
      <c r="P24" s="339">
        <f t="shared" si="0"/>
        <v>2.9637331925607881E-2</v>
      </c>
    </row>
    <row r="25" spans="1:16" ht="18" customHeight="1" x14ac:dyDescent="0.2">
      <c r="A25" s="30">
        <v>21</v>
      </c>
      <c r="B25" s="26" t="s">
        <v>17</v>
      </c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305">
        <f t="shared" si="1"/>
        <v>0</v>
      </c>
      <c r="P25" s="339">
        <f t="shared" si="0"/>
        <v>0</v>
      </c>
    </row>
    <row r="26" spans="1:16" s="48" customFormat="1" ht="18" customHeight="1" x14ac:dyDescent="0.2">
      <c r="A26" s="49" t="s">
        <v>24</v>
      </c>
      <c r="B26" s="152" t="s">
        <v>23</v>
      </c>
      <c r="C26" s="153">
        <f>C24+C25</f>
        <v>6703.23</v>
      </c>
      <c r="D26" s="153">
        <f t="shared" ref="D26:N26" si="3">D24+D25</f>
        <v>2356.3200000000002</v>
      </c>
      <c r="E26" s="153">
        <f t="shared" si="3"/>
        <v>2816.13</v>
      </c>
      <c r="F26" s="153">
        <f t="shared" si="3"/>
        <v>2033.7</v>
      </c>
      <c r="G26" s="153">
        <f t="shared" si="3"/>
        <v>3902.44</v>
      </c>
      <c r="H26" s="153">
        <f t="shared" si="3"/>
        <v>1765.63</v>
      </c>
      <c r="I26" s="153">
        <f t="shared" si="3"/>
        <v>2358.15</v>
      </c>
      <c r="J26" s="153">
        <f t="shared" si="3"/>
        <v>3339.63</v>
      </c>
      <c r="K26" s="153">
        <f t="shared" si="3"/>
        <v>1584.76</v>
      </c>
      <c r="L26" s="153">
        <f t="shared" si="3"/>
        <v>2137.35</v>
      </c>
      <c r="M26" s="153">
        <f t="shared" si="3"/>
        <v>3341.43</v>
      </c>
      <c r="N26" s="153">
        <f t="shared" si="3"/>
        <v>9936.35</v>
      </c>
      <c r="O26" s="306">
        <f t="shared" si="1"/>
        <v>42275.12</v>
      </c>
      <c r="P26" s="292">
        <f t="shared" si="0"/>
        <v>2.9637331925607881E-2</v>
      </c>
    </row>
    <row r="27" spans="1:16" s="55" customFormat="1" ht="18" customHeight="1" x14ac:dyDescent="0.2">
      <c r="A27" s="203" t="s">
        <v>26</v>
      </c>
      <c r="B27" s="208" t="s">
        <v>25</v>
      </c>
      <c r="C27" s="209">
        <f>C23+C26</f>
        <v>109470.81999999999</v>
      </c>
      <c r="D27" s="209">
        <f t="shared" ref="D27:N27" si="4">D23+D26</f>
        <v>89569.55</v>
      </c>
      <c r="E27" s="209">
        <f t="shared" si="4"/>
        <v>104909.13</v>
      </c>
      <c r="F27" s="209">
        <f t="shared" si="4"/>
        <v>108265.12</v>
      </c>
      <c r="G27" s="209">
        <f t="shared" si="4"/>
        <v>171403.32000000004</v>
      </c>
      <c r="H27" s="209">
        <f t="shared" si="4"/>
        <v>78720.00999999998</v>
      </c>
      <c r="I27" s="209">
        <f t="shared" si="4"/>
        <v>101478.58</v>
      </c>
      <c r="J27" s="209">
        <f t="shared" si="4"/>
        <v>111454.10000000002</v>
      </c>
      <c r="K27" s="209">
        <f t="shared" si="4"/>
        <v>209958.69000000006</v>
      </c>
      <c r="L27" s="209">
        <f t="shared" si="4"/>
        <v>102029.01</v>
      </c>
      <c r="M27" s="209">
        <f t="shared" si="4"/>
        <v>97162.569999999992</v>
      </c>
      <c r="N27" s="209">
        <f t="shared" si="4"/>
        <v>184268.72</v>
      </c>
      <c r="O27" s="209">
        <f t="shared" si="1"/>
        <v>1468689.62</v>
      </c>
      <c r="P27" s="281">
        <f t="shared" si="0"/>
        <v>1.029637331925608</v>
      </c>
    </row>
    <row r="29" spans="1:16" ht="16.5" customHeight="1" x14ac:dyDescent="0.2">
      <c r="G29" s="109"/>
      <c r="H29" s="110" t="s">
        <v>49</v>
      </c>
      <c r="I29" s="109"/>
      <c r="J29" s="109"/>
      <c r="K29" s="109"/>
      <c r="L29" s="111"/>
      <c r="M29" s="109" t="s">
        <v>50</v>
      </c>
      <c r="N29" s="112"/>
    </row>
    <row r="30" spans="1:16" ht="16.5" customHeight="1" x14ac:dyDescent="0.2">
      <c r="G30" s="109"/>
      <c r="H30" s="109" t="s">
        <v>51</v>
      </c>
      <c r="I30" s="109"/>
      <c r="J30" s="109"/>
      <c r="K30" s="109"/>
      <c r="L30" s="111"/>
      <c r="M30" s="109" t="s">
        <v>52</v>
      </c>
      <c r="N30" s="112"/>
    </row>
    <row r="31" spans="1:16" ht="16.5" customHeight="1" x14ac:dyDescent="0.2">
      <c r="G31" s="109"/>
      <c r="H31" s="111" t="s">
        <v>53</v>
      </c>
      <c r="I31" s="111"/>
      <c r="J31" s="111"/>
      <c r="K31" s="109"/>
      <c r="L31" s="111"/>
      <c r="M31" s="109" t="s">
        <v>54</v>
      </c>
      <c r="N31" s="112"/>
    </row>
    <row r="32" spans="1:16" ht="16.5" customHeight="1" x14ac:dyDescent="0.2">
      <c r="G32" s="111"/>
      <c r="H32" s="111"/>
      <c r="I32" s="111"/>
      <c r="J32" s="111"/>
      <c r="K32" s="109"/>
      <c r="L32" s="111"/>
      <c r="M32" s="111"/>
      <c r="N32" s="113"/>
    </row>
  </sheetData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Q33"/>
  <sheetViews>
    <sheetView showGridLines="0" workbookViewId="0">
      <selection activeCell="B2" sqref="B2"/>
    </sheetView>
  </sheetViews>
  <sheetFormatPr defaultRowHeight="19.5" customHeight="1" x14ac:dyDescent="0.45"/>
  <cols>
    <col min="1" max="1" width="5.75" style="61" customWidth="1"/>
    <col min="2" max="2" width="15.875" style="194" customWidth="1"/>
    <col min="3" max="14" width="8.625" style="107" customWidth="1"/>
    <col min="15" max="15" width="9.75" style="314" customWidth="1"/>
    <col min="16" max="16" width="12" style="322" customWidth="1"/>
    <col min="17" max="16384" width="9" style="61"/>
  </cols>
  <sheetData>
    <row r="1" spans="1:17" s="145" customFormat="1" ht="19.5" customHeight="1" x14ac:dyDescent="0.2">
      <c r="A1" s="139"/>
      <c r="B1" s="140"/>
      <c r="C1" s="141"/>
      <c r="D1" s="142" t="s">
        <v>43</v>
      </c>
      <c r="E1" s="141"/>
      <c r="F1" s="141"/>
      <c r="G1" s="141"/>
      <c r="H1" s="141"/>
      <c r="I1" s="143"/>
      <c r="J1" s="143"/>
      <c r="K1" s="142" t="str">
        <f>สรุปยอด!C3</f>
        <v xml:space="preserve"> ปีงบประมาณ   2561</v>
      </c>
      <c r="L1" s="141"/>
      <c r="M1" s="141"/>
      <c r="N1" s="141"/>
      <c r="O1" s="141"/>
      <c r="P1" s="321"/>
      <c r="Q1" s="144"/>
    </row>
    <row r="2" spans="1:17" s="145" customFormat="1" ht="19.5" customHeight="1" x14ac:dyDescent="0.2">
      <c r="A2" s="139"/>
      <c r="B2" s="140"/>
      <c r="C2" s="142" t="str">
        <f>'[1]1.1.ยา(ทั่วไป)'!C2</f>
        <v>จาก ฝ่ายเภสัชกรรมชุมชน  โรงพยาบาลกุมภวาปี</v>
      </c>
      <c r="D2" s="141"/>
      <c r="E2" s="143"/>
      <c r="F2" s="141"/>
      <c r="G2" s="141"/>
      <c r="H2" s="143"/>
      <c r="I2" s="141"/>
      <c r="J2" s="141"/>
      <c r="K2" s="141"/>
      <c r="L2" s="143"/>
      <c r="M2" s="146"/>
      <c r="N2" s="147" t="str">
        <f>สรุปยอด!D4</f>
        <v xml:space="preserve">รายงานข้อมูลณ วันที่ 28/9/61 </v>
      </c>
      <c r="O2" s="141"/>
      <c r="P2" s="321"/>
      <c r="Q2" s="144"/>
    </row>
    <row r="3" spans="1:17" ht="5.25" customHeight="1" x14ac:dyDescent="0.45"/>
    <row r="4" spans="1:17" s="166" customFormat="1" ht="31.5" customHeight="1" x14ac:dyDescent="0.45">
      <c r="A4" s="168" t="s">
        <v>0</v>
      </c>
      <c r="B4" s="197" t="s">
        <v>1</v>
      </c>
      <c r="C4" s="198" t="s">
        <v>27</v>
      </c>
      <c r="D4" s="198" t="s">
        <v>28</v>
      </c>
      <c r="E4" s="198" t="s">
        <v>29</v>
      </c>
      <c r="F4" s="198" t="s">
        <v>30</v>
      </c>
      <c r="G4" s="198" t="s">
        <v>31</v>
      </c>
      <c r="H4" s="198" t="s">
        <v>32</v>
      </c>
      <c r="I4" s="198" t="s">
        <v>33</v>
      </c>
      <c r="J4" s="198" t="s">
        <v>34</v>
      </c>
      <c r="K4" s="198" t="s">
        <v>35</v>
      </c>
      <c r="L4" s="198" t="s">
        <v>36</v>
      </c>
      <c r="M4" s="198" t="s">
        <v>37</v>
      </c>
      <c r="N4" s="198" t="s">
        <v>38</v>
      </c>
      <c r="O4" s="199" t="s">
        <v>39</v>
      </c>
      <c r="P4" s="323" t="s">
        <v>40</v>
      </c>
    </row>
    <row r="5" spans="1:17" ht="19.5" customHeight="1" x14ac:dyDescent="0.45">
      <c r="A5" s="25">
        <v>1</v>
      </c>
      <c r="B5" s="26" t="s">
        <v>18</v>
      </c>
      <c r="C5" s="193">
        <f>'1.ยาทั่วไป'!C5+'2.ยาแพทย์ PCC'!C5+'3.ยาเรื้อรัง 25%'!C5+'4.ยาเรื้อรังฟรี'!C5</f>
        <v>138714.06</v>
      </c>
      <c r="D5" s="193">
        <f>'1.ยาทั่วไป'!D5+'2.ยาแพทย์ PCC'!D5+'3.ยาเรื้อรัง 25%'!D5+'4.ยาเรื้อรังฟรี'!D5</f>
        <v>104308.22</v>
      </c>
      <c r="E5" s="193">
        <f>'1.ยาทั่วไป'!E5+'2.ยาแพทย์ PCC'!E5+'3.ยาเรื้อรัง 25%'!E5+'4.ยาเรื้อรังฟรี'!E5</f>
        <v>60021.929999999993</v>
      </c>
      <c r="F5" s="193">
        <f>'1.ยาทั่วไป'!F5+'2.ยาแพทย์ PCC'!F5+'3.ยาเรื้อรัง 25%'!F5+'4.ยาเรื้อรังฟรี'!F5</f>
        <v>89052.76</v>
      </c>
      <c r="G5" s="193">
        <f>'1.ยาทั่วไป'!G5+'2.ยาแพทย์ PCC'!G5+'3.ยาเรื้อรัง 25%'!G5+'4.ยาเรื้อรังฟรี'!G5</f>
        <v>52155.310000000005</v>
      </c>
      <c r="H5" s="193">
        <f>'1.ยาทั่วไป'!H5+'2.ยาแพทย์ PCC'!H5+'3.ยาเรื้อรัง 25%'!H5+'4.ยาเรื้อรังฟรี'!H5</f>
        <v>68709.540000000008</v>
      </c>
      <c r="I5" s="193">
        <f>'1.ยาทั่วไป'!I5+'2.ยาแพทย์ PCC'!I5+'3.ยาเรื้อรัง 25%'!I5+'4.ยาเรื้อรังฟรี'!I5</f>
        <v>0</v>
      </c>
      <c r="J5" s="193">
        <f>'1.ยาทั่วไป'!J5+'2.ยาแพทย์ PCC'!J5+'3.ยาเรื้อรัง 25%'!J5+'4.ยาเรื้อรังฟรี'!J5</f>
        <v>120133.66</v>
      </c>
      <c r="K5" s="193">
        <f>'1.ยาทั่วไป'!K5+'2.ยาแพทย์ PCC'!K5+'3.ยาเรื้อรัง 25%'!K5+'4.ยาเรื้อรังฟรี'!K5</f>
        <v>82605.66</v>
      </c>
      <c r="L5" s="193">
        <f>'1.ยาทั่วไป'!L5+'2.ยาแพทย์ PCC'!L5+'3.ยาเรื้อรัง 25%'!L5+'4.ยาเรื้อรังฟรี'!L5</f>
        <v>87358.540000000008</v>
      </c>
      <c r="M5" s="193">
        <f>'1.ยาทั่วไป'!M5+'2.ยาแพทย์ PCC'!M5+'3.ยาเรื้อรัง 25%'!M5+'4.ยาเรื้อรังฟรี'!M5</f>
        <v>61984.820000000007</v>
      </c>
      <c r="N5" s="193">
        <f>'1.ยาทั่วไป'!N5+'2.ยาแพทย์ PCC'!N5+'3.ยาเรื้อรัง 25%'!N5+'4.ยาเรื้อรังฟรี'!N5</f>
        <v>64602.11</v>
      </c>
      <c r="O5" s="315">
        <f>SUM(C5:N5)</f>
        <v>929646.61</v>
      </c>
      <c r="P5" s="319">
        <f t="shared" ref="P5:P27" si="0">O5/$O$23</f>
        <v>0.17241624355030991</v>
      </c>
    </row>
    <row r="6" spans="1:17" ht="19.5" customHeight="1" x14ac:dyDescent="0.45">
      <c r="A6" s="25">
        <v>2</v>
      </c>
      <c r="B6" s="26" t="s">
        <v>19</v>
      </c>
      <c r="C6" s="193">
        <f>'1.ยาทั่วไป'!C6+'2.ยาแพทย์ PCC'!C6+'3.ยาเรื้อรัง 25%'!C6+'4.ยาเรื้อรังฟรี'!C6</f>
        <v>60148.570000000007</v>
      </c>
      <c r="D6" s="193">
        <f>'1.ยาทั่วไป'!D6+'2.ยาแพทย์ PCC'!D6+'3.ยาเรื้อรัง 25%'!D6+'4.ยาเรื้อรังฟรี'!D6</f>
        <v>47616.67</v>
      </c>
      <c r="E6" s="193">
        <f>'1.ยาทั่วไป'!E6+'2.ยาแพทย์ PCC'!E6+'3.ยาเรื้อรัง 25%'!E6+'4.ยาเรื้อรังฟรี'!E6</f>
        <v>37302.589999999997</v>
      </c>
      <c r="F6" s="193">
        <f>'1.ยาทั่วไป'!F6+'2.ยาแพทย์ PCC'!F6+'3.ยาเรื้อรัง 25%'!F6+'4.ยาเรื้อรังฟรี'!F6</f>
        <v>52482.99</v>
      </c>
      <c r="G6" s="193">
        <f>'1.ยาทั่วไป'!G6+'2.ยาแพทย์ PCC'!G6+'3.ยาเรื้อรัง 25%'!G6+'4.ยาเรื้อรังฟรี'!G6</f>
        <v>34829.07</v>
      </c>
      <c r="H6" s="193">
        <f>'1.ยาทั่วไป'!H6+'2.ยาแพทย์ PCC'!H6+'3.ยาเรื้อรัง 25%'!H6+'4.ยาเรื้อรังฟรี'!H6</f>
        <v>49294.67</v>
      </c>
      <c r="I6" s="193">
        <f>'1.ยาทั่วไป'!I6+'2.ยาแพทย์ PCC'!I6+'3.ยาเรื้อรัง 25%'!I6+'4.ยาเรื้อรังฟรี'!I6</f>
        <v>41695.619999999995</v>
      </c>
      <c r="J6" s="193">
        <f>'1.ยาทั่วไป'!J6+'2.ยาแพทย์ PCC'!J6+'3.ยาเรื้อรัง 25%'!J6+'4.ยาเรื้อรังฟรี'!J6</f>
        <v>19287.599999999999</v>
      </c>
      <c r="K6" s="193">
        <f>'1.ยาทั่วไป'!K6+'2.ยาแพทย์ PCC'!K6+'3.ยาเรื้อรัง 25%'!K6+'4.ยาเรื้อรังฟรี'!K6</f>
        <v>44825.020000000004</v>
      </c>
      <c r="L6" s="193">
        <f>'1.ยาทั่วไป'!L6+'2.ยาแพทย์ PCC'!L6+'3.ยาเรื้อรัง 25%'!L6+'4.ยาเรื้อรังฟรี'!L6</f>
        <v>67874.69</v>
      </c>
      <c r="M6" s="193">
        <f>'1.ยาทั่วไป'!M6+'2.ยาแพทย์ PCC'!M6+'3.ยาเรื้อรัง 25%'!M6+'4.ยาเรื้อรังฟรี'!M6</f>
        <v>51824.2</v>
      </c>
      <c r="N6" s="193">
        <f>'1.ยาทั่วไป'!N6+'2.ยาแพทย์ PCC'!N6+'3.ยาเรื้อรัง 25%'!N6+'4.ยาเรื้อรังฟรี'!N6</f>
        <v>56474.05</v>
      </c>
      <c r="O6" s="315">
        <f t="shared" ref="O6:O27" si="1">SUM(C6:N6)</f>
        <v>563655.74</v>
      </c>
      <c r="P6" s="319">
        <f t="shared" si="0"/>
        <v>0.10453800863789538</v>
      </c>
    </row>
    <row r="7" spans="1:17" ht="19.5" customHeight="1" x14ac:dyDescent="0.45">
      <c r="A7" s="25">
        <v>3</v>
      </c>
      <c r="B7" s="26" t="s">
        <v>20</v>
      </c>
      <c r="C7" s="193">
        <f>'1.ยาทั่วไป'!C7+'2.ยาแพทย์ PCC'!C7+'3.ยาเรื้อรัง 25%'!C7+'4.ยาเรื้อรังฟรี'!C7</f>
        <v>7353.98</v>
      </c>
      <c r="D7" s="193">
        <f>'1.ยาทั่วไป'!D7+'2.ยาแพทย์ PCC'!D7+'3.ยาเรื้อรัง 25%'!D7+'4.ยาเรื้อรังฟรี'!D7</f>
        <v>27381.55</v>
      </c>
      <c r="E7" s="193">
        <f>'1.ยาทั่วไป'!E7+'2.ยาแพทย์ PCC'!E7+'3.ยาเรื้อรัง 25%'!E7+'4.ยาเรื้อรังฟรี'!E7</f>
        <v>18185.03</v>
      </c>
      <c r="F7" s="193">
        <f>'1.ยาทั่วไป'!F7+'2.ยาแพทย์ PCC'!F7+'3.ยาเรื้อรัง 25%'!F7+'4.ยาเรื้อรังฟรี'!F7</f>
        <v>24095.510000000002</v>
      </c>
      <c r="G7" s="193">
        <f>'1.ยาทั่วไป'!G7+'2.ยาแพทย์ PCC'!G7+'3.ยาเรื้อรัง 25%'!G7+'4.ยาเรื้อรังฟรี'!G7</f>
        <v>23402.38</v>
      </c>
      <c r="H7" s="193">
        <f>'1.ยาทั่วไป'!H7+'2.ยาแพทย์ PCC'!H7+'3.ยาเรื้อรัง 25%'!H7+'4.ยาเรื้อรังฟรี'!H7</f>
        <v>32692.15</v>
      </c>
      <c r="I7" s="193">
        <f>'1.ยาทั่วไป'!I7+'2.ยาแพทย์ PCC'!I7+'3.ยาเรื้อรัง 25%'!I7+'4.ยาเรื้อรังฟรี'!I7</f>
        <v>13798.3</v>
      </c>
      <c r="J7" s="193">
        <f>'1.ยาทั่วไป'!J7+'2.ยาแพทย์ PCC'!J7+'3.ยาเรื้อรัง 25%'!J7+'4.ยาเรื้อรังฟรี'!J7</f>
        <v>10700.06</v>
      </c>
      <c r="K7" s="193">
        <f>'1.ยาทั่วไป'!K7+'2.ยาแพทย์ PCC'!K7+'3.ยาเรื้อรัง 25%'!K7+'4.ยาเรื้อรังฟรี'!K7</f>
        <v>17026.75</v>
      </c>
      <c r="L7" s="193">
        <f>'1.ยาทั่วไป'!L7+'2.ยาแพทย์ PCC'!L7+'3.ยาเรื้อรัง 25%'!L7+'4.ยาเรื้อรังฟรี'!L7</f>
        <v>15142.240000000002</v>
      </c>
      <c r="M7" s="193">
        <f>'1.ยาทั่วไป'!M7+'2.ยาแพทย์ PCC'!M7+'3.ยาเรื้อรัง 25%'!M7+'4.ยาเรื้อรังฟรี'!M7</f>
        <v>14808.119999999999</v>
      </c>
      <c r="N7" s="193">
        <f>'1.ยาทั่วไป'!N7+'2.ยาแพทย์ PCC'!N7+'3.ยาเรื้อรัง 25%'!N7+'4.ยาเรื้อรังฟรี'!N7</f>
        <v>46670.53</v>
      </c>
      <c r="O7" s="315">
        <f t="shared" si="1"/>
        <v>251256.59999999998</v>
      </c>
      <c r="P7" s="319">
        <f t="shared" si="0"/>
        <v>4.6599125595932406E-2</v>
      </c>
    </row>
    <row r="8" spans="1:17" ht="19.5" customHeight="1" x14ac:dyDescent="0.45">
      <c r="A8" s="25">
        <v>4</v>
      </c>
      <c r="B8" s="26" t="s">
        <v>21</v>
      </c>
      <c r="C8" s="193">
        <f>'1.ยาทั่วไป'!C8+'2.ยาแพทย์ PCC'!C8+'3.ยาเรื้อรัง 25%'!C8+'4.ยาเรื้อรังฟรี'!C8</f>
        <v>34138.06</v>
      </c>
      <c r="D8" s="193">
        <f>'1.ยาทั่วไป'!D8+'2.ยาแพทย์ PCC'!D8+'3.ยาเรื้อรัง 25%'!D8+'4.ยาเรื้อรังฟรี'!D8</f>
        <v>109462.70999999999</v>
      </c>
      <c r="E8" s="193">
        <f>'1.ยาทั่วไป'!E8+'2.ยาแพทย์ PCC'!E8+'3.ยาเรื้อรัง 25%'!E8+'4.ยาเรื้อรังฟรี'!E8</f>
        <v>18362.400000000001</v>
      </c>
      <c r="F8" s="193">
        <f>'1.ยาทั่วไป'!F8+'2.ยาแพทย์ PCC'!F8+'3.ยาเรื้อรัง 25%'!F8+'4.ยาเรื้อรังฟรี'!F8</f>
        <v>70905.88</v>
      </c>
      <c r="G8" s="193">
        <f>'1.ยาทั่วไป'!G8+'2.ยาแพทย์ PCC'!G8+'3.ยาเรื้อรัง 25%'!G8+'4.ยาเรื้อรังฟรี'!G8</f>
        <v>46442</v>
      </c>
      <c r="H8" s="193">
        <f>'1.ยาทั่วไป'!H8+'2.ยาแพทย์ PCC'!H8+'3.ยาเรื้อรัง 25%'!H8+'4.ยาเรื้อรังฟรี'!H8</f>
        <v>76829.850000000006</v>
      </c>
      <c r="I8" s="193">
        <f>'1.ยาทั่วไป'!I8+'2.ยาแพทย์ PCC'!I8+'3.ยาเรื้อรัง 25%'!I8+'4.ยาเรื้อรังฟรี'!I8</f>
        <v>50971.4</v>
      </c>
      <c r="J8" s="193">
        <f>'1.ยาทั่วไป'!J8+'2.ยาแพทย์ PCC'!J8+'3.ยาเรื้อรัง 25%'!J8+'4.ยาเรื้อรังฟรี'!J8</f>
        <v>44850.720000000001</v>
      </c>
      <c r="K8" s="193">
        <f>'1.ยาทั่วไป'!K8+'2.ยาแพทย์ PCC'!K8+'3.ยาเรื้อรัง 25%'!K8+'4.ยาเรื้อรังฟรี'!K8</f>
        <v>24771.07</v>
      </c>
      <c r="L8" s="193">
        <f>'1.ยาทั่วไป'!L8+'2.ยาแพทย์ PCC'!L8+'3.ยาเรื้อรัง 25%'!L8+'4.ยาเรื้อรังฟรี'!L8</f>
        <v>44229.1</v>
      </c>
      <c r="M8" s="193">
        <f>'1.ยาทั่วไป'!M8+'2.ยาแพทย์ PCC'!M8+'3.ยาเรื้อรัง 25%'!M8+'4.ยาเรื้อรังฟรี'!M8</f>
        <v>63117.060000000005</v>
      </c>
      <c r="N8" s="193">
        <f>'1.ยาทั่วไป'!N8+'2.ยาแพทย์ PCC'!N8+'3.ยาเรื้อรัง 25%'!N8+'4.ยาเรื้อรังฟรี'!N8</f>
        <v>31333.38</v>
      </c>
      <c r="O8" s="315">
        <f t="shared" si="1"/>
        <v>615413.63</v>
      </c>
      <c r="P8" s="319">
        <f t="shared" si="0"/>
        <v>0.11413724868448701</v>
      </c>
    </row>
    <row r="9" spans="1:17" ht="19.5" customHeight="1" x14ac:dyDescent="0.45">
      <c r="A9" s="25">
        <v>5</v>
      </c>
      <c r="B9" s="26" t="s">
        <v>2</v>
      </c>
      <c r="C9" s="193">
        <f>'1.ยาทั่วไป'!C9+'2.ยาแพทย์ PCC'!C9+'3.ยาเรื้อรัง 25%'!C9+'4.ยาเรื้อรังฟรี'!C9</f>
        <v>12893.3</v>
      </c>
      <c r="D9" s="193">
        <f>'1.ยาทั่วไป'!D9+'2.ยาแพทย์ PCC'!D9+'3.ยาเรื้อรัง 25%'!D9+'4.ยาเรื้อรังฟรี'!D9</f>
        <v>20867.849999999999</v>
      </c>
      <c r="E9" s="193">
        <f>'1.ยาทั่วไป'!E9+'2.ยาแพทย์ PCC'!E9+'3.ยาเรื้อรัง 25%'!E9+'4.ยาเรื้อรังฟรี'!E9</f>
        <v>13386.810000000001</v>
      </c>
      <c r="F9" s="193">
        <f>'1.ยาทั่วไป'!F9+'2.ยาแพทย์ PCC'!F9+'3.ยาเรื้อรัง 25%'!F9+'4.ยาเรื้อรังฟรี'!F9</f>
        <v>28541.1</v>
      </c>
      <c r="G9" s="193">
        <f>'1.ยาทั่วไป'!G9+'2.ยาแพทย์ PCC'!G9+'3.ยาเรื้อรัง 25%'!G9+'4.ยาเรื้อรังฟรี'!G9</f>
        <v>9384.18</v>
      </c>
      <c r="H9" s="193">
        <f>'1.ยาทั่วไป'!H9+'2.ยาแพทย์ PCC'!H9+'3.ยาเรื้อรัง 25%'!H9+'4.ยาเรื้อรังฟรี'!H9</f>
        <v>22684.86</v>
      </c>
      <c r="I9" s="193">
        <f>'1.ยาทั่วไป'!I9+'2.ยาแพทย์ PCC'!I9+'3.ยาเรื้อรัง 25%'!I9+'4.ยาเรื้อรังฟรี'!I9</f>
        <v>17028.190000000002</v>
      </c>
      <c r="J9" s="193">
        <f>'1.ยาทั่วไป'!J9+'2.ยาแพทย์ PCC'!J9+'3.ยาเรื้อรัง 25%'!J9+'4.ยาเรื้อรังฟรี'!J9</f>
        <v>24670.98</v>
      </c>
      <c r="K9" s="193">
        <f>'1.ยาทั่วไป'!K9+'2.ยาแพทย์ PCC'!K9+'3.ยาเรื้อรัง 25%'!K9+'4.ยาเรื้อรังฟรี'!K9</f>
        <v>21100.35</v>
      </c>
      <c r="L9" s="193">
        <f>'1.ยาทั่วไป'!L9+'2.ยาแพทย์ PCC'!L9+'3.ยาเรื้อรัง 25%'!L9+'4.ยาเรื้อรังฟรี'!L9</f>
        <v>33616.370000000003</v>
      </c>
      <c r="M9" s="193">
        <f>'1.ยาทั่วไป'!M9+'2.ยาแพทย์ PCC'!M9+'3.ยาเรื้อรัง 25%'!M9+'4.ยาเรื้อรังฟรี'!M9</f>
        <v>30176.41</v>
      </c>
      <c r="N9" s="193">
        <f>'1.ยาทั่วไป'!N9+'2.ยาแพทย์ PCC'!N9+'3.ยาเรื้อรัง 25%'!N9+'4.ยาเรื้อรังฟรี'!N9</f>
        <v>25265.62</v>
      </c>
      <c r="O9" s="315">
        <f t="shared" si="1"/>
        <v>259616.02</v>
      </c>
      <c r="P9" s="319">
        <f t="shared" si="0"/>
        <v>4.8149499446765179E-2</v>
      </c>
    </row>
    <row r="10" spans="1:17" ht="19.5" customHeight="1" x14ac:dyDescent="0.45">
      <c r="A10" s="25">
        <v>6</v>
      </c>
      <c r="B10" s="26" t="s">
        <v>3</v>
      </c>
      <c r="C10" s="193">
        <f>'1.ยาทั่วไป'!C10+'2.ยาแพทย์ PCC'!C10+'3.ยาเรื้อรัง 25%'!C10+'4.ยาเรื้อรังฟรี'!C10</f>
        <v>2473.09</v>
      </c>
      <c r="D10" s="193">
        <f>'1.ยาทั่วไป'!D10+'2.ยาแพทย์ PCC'!D10+'3.ยาเรื้อรัง 25%'!D10+'4.ยาเรื้อรังฟรี'!D10</f>
        <v>16124.009999999998</v>
      </c>
      <c r="E10" s="193">
        <f>'1.ยาทั่วไป'!E10+'2.ยาแพทย์ PCC'!E10+'3.ยาเรื้อรัง 25%'!E10+'4.ยาเรื้อรังฟรี'!E10</f>
        <v>2720</v>
      </c>
      <c r="F10" s="193">
        <f>'1.ยาทั่วไป'!F10+'2.ยาแพทย์ PCC'!F10+'3.ยาเรื้อรัง 25%'!F10+'4.ยาเรื้อรังฟรี'!F10</f>
        <v>15182.48</v>
      </c>
      <c r="G10" s="193">
        <f>'1.ยาทั่วไป'!G10+'2.ยาแพทย์ PCC'!G10+'3.ยาเรื้อรัง 25%'!G10+'4.ยาเรื้อรังฟรี'!G10</f>
        <v>33532.18</v>
      </c>
      <c r="H10" s="193">
        <f>'1.ยาทั่วไป'!H10+'2.ยาแพทย์ PCC'!H10+'3.ยาเรื้อรัง 25%'!H10+'4.ยาเรื้อรังฟรี'!H10</f>
        <v>8926.9700000000012</v>
      </c>
      <c r="I10" s="193">
        <f>'1.ยาทั่วไป'!I10+'2.ยาแพทย์ PCC'!I10+'3.ยาเรื้อรัง 25%'!I10+'4.ยาเรื้อรังฟรี'!I10</f>
        <v>9653.6899999999987</v>
      </c>
      <c r="J10" s="193">
        <f>'1.ยาทั่วไป'!J10+'2.ยาแพทย์ PCC'!J10+'3.ยาเรื้อรัง 25%'!J10+'4.ยาเรื้อรังฟรี'!J10</f>
        <v>13830.23</v>
      </c>
      <c r="K10" s="193">
        <f>'1.ยาทั่วไป'!K10+'2.ยาแพทย์ PCC'!K10+'3.ยาเรื้อรัง 25%'!K10+'4.ยาเรื้อรังฟรี'!K10</f>
        <v>491.25</v>
      </c>
      <c r="L10" s="193">
        <f>'1.ยาทั่วไป'!L10+'2.ยาแพทย์ PCC'!L10+'3.ยาเรื้อรัง 25%'!L10+'4.ยาเรื้อรังฟรี'!L10</f>
        <v>17549.98</v>
      </c>
      <c r="M10" s="193">
        <f>'1.ยาทั่วไป'!M10+'2.ยาแพทย์ PCC'!M10+'3.ยาเรื้อรัง 25%'!M10+'4.ยาเรื้อรังฟรี'!M10</f>
        <v>28441.11</v>
      </c>
      <c r="N10" s="193">
        <f>'1.ยาทั่วไป'!N10+'2.ยาแพทย์ PCC'!N10+'3.ยาเรื้อรัง 25%'!N10+'4.ยาเรื้อรังฟรี'!N10</f>
        <v>0</v>
      </c>
      <c r="O10" s="315">
        <f t="shared" si="1"/>
        <v>148924.99</v>
      </c>
      <c r="P10" s="319">
        <f t="shared" si="0"/>
        <v>2.7620266744766021E-2</v>
      </c>
    </row>
    <row r="11" spans="1:17" ht="19.5" customHeight="1" x14ac:dyDescent="0.45">
      <c r="A11" s="25">
        <v>7</v>
      </c>
      <c r="B11" s="26" t="s">
        <v>4</v>
      </c>
      <c r="C11" s="193">
        <f>'1.ยาทั่วไป'!C11+'2.ยาแพทย์ PCC'!C11+'3.ยาเรื้อรัง 25%'!C11+'4.ยาเรื้อรังฟรี'!C11</f>
        <v>17655.14</v>
      </c>
      <c r="D11" s="193">
        <f>'1.ยาทั่วไป'!D11+'2.ยาแพทย์ PCC'!D11+'3.ยาเรื้อรัง 25%'!D11+'4.ยาเรื้อรังฟรี'!D11</f>
        <v>12253.689999999999</v>
      </c>
      <c r="E11" s="193">
        <f>'1.ยาทั่วไป'!E11+'2.ยาแพทย์ PCC'!E11+'3.ยาเรื้อรัง 25%'!E11+'4.ยาเรื้อรังฟรี'!E11</f>
        <v>18136.330000000002</v>
      </c>
      <c r="F11" s="193">
        <f>'1.ยาทั่วไป'!F11+'2.ยาแพทย์ PCC'!F11+'3.ยาเรื้อรัง 25%'!F11+'4.ยาเรื้อรังฟรี'!F11</f>
        <v>31381.260000000002</v>
      </c>
      <c r="G11" s="193">
        <f>'1.ยาทั่วไป'!G11+'2.ยาแพทย์ PCC'!G11+'3.ยาเรื้อรัง 25%'!G11+'4.ยาเรื้อรังฟรี'!G11</f>
        <v>25171.47</v>
      </c>
      <c r="H11" s="193">
        <f>'1.ยาทั่วไป'!H11+'2.ยาแพทย์ PCC'!H11+'3.ยาเรื้อรัง 25%'!H11+'4.ยาเรื้อรังฟรี'!H11</f>
        <v>24558.14</v>
      </c>
      <c r="I11" s="193">
        <f>'1.ยาทั่วไป'!I11+'2.ยาแพทย์ PCC'!I11+'3.ยาเรื้อรัง 25%'!I11+'4.ยาเรื้อรังฟรี'!I11</f>
        <v>28007</v>
      </c>
      <c r="J11" s="193">
        <f>'1.ยาทั่วไป'!J11+'2.ยาแพทย์ PCC'!J11+'3.ยาเรื้อรัง 25%'!J11+'4.ยาเรื้อรังฟรี'!J11</f>
        <v>27302.3</v>
      </c>
      <c r="K11" s="193">
        <f>'1.ยาทั่วไป'!K11+'2.ยาแพทย์ PCC'!K11+'3.ยาเรื้อรัง 25%'!K11+'4.ยาเรื้อรังฟรี'!K11</f>
        <v>15822.98</v>
      </c>
      <c r="L11" s="193">
        <f>'1.ยาทั่วไป'!L11+'2.ยาแพทย์ PCC'!L11+'3.ยาเรื้อรัง 25%'!L11+'4.ยาเรื้อรังฟรี'!L11</f>
        <v>28681.89</v>
      </c>
      <c r="M11" s="193">
        <f>'1.ยาทั่วไป'!M11+'2.ยาแพทย์ PCC'!M11+'3.ยาเรื้อรัง 25%'!M11+'4.ยาเรื้อรังฟรี'!M11</f>
        <v>0</v>
      </c>
      <c r="N11" s="193">
        <f>'1.ยาทั่วไป'!N11+'2.ยาแพทย์ PCC'!N11+'3.ยาเรื้อรัง 25%'!N11+'4.ยาเรื้อรังฟรี'!N11</f>
        <v>77984.459999999992</v>
      </c>
      <c r="O11" s="315">
        <f t="shared" si="1"/>
        <v>306954.66000000003</v>
      </c>
      <c r="P11" s="319">
        <f t="shared" si="0"/>
        <v>5.6929126453182655E-2</v>
      </c>
    </row>
    <row r="12" spans="1:17" ht="19.5" customHeight="1" x14ac:dyDescent="0.45">
      <c r="A12" s="25">
        <v>8</v>
      </c>
      <c r="B12" s="26" t="s">
        <v>5</v>
      </c>
      <c r="C12" s="193">
        <f>'1.ยาทั่วไป'!C12+'2.ยาแพทย์ PCC'!C12+'3.ยาเรื้อรัง 25%'!C12+'4.ยาเรื้อรังฟรี'!C12</f>
        <v>38512.61</v>
      </c>
      <c r="D12" s="193">
        <f>'1.ยาทั่วไป'!D12+'2.ยาแพทย์ PCC'!D12+'3.ยาเรื้อรัง 25%'!D12+'4.ยาเรื้อรังฟรี'!D12</f>
        <v>32028.5</v>
      </c>
      <c r="E12" s="193">
        <f>'1.ยาทั่วไป'!E12+'2.ยาแพทย์ PCC'!E12+'3.ยาเรื้อรัง 25%'!E12+'4.ยาเรื้อรังฟรี'!E12</f>
        <v>12872.4</v>
      </c>
      <c r="F12" s="193">
        <f>'1.ยาทั่วไป'!F12+'2.ยาแพทย์ PCC'!F12+'3.ยาเรื้อรัง 25%'!F12+'4.ยาเรื้อรังฟรี'!F12</f>
        <v>42657.57</v>
      </c>
      <c r="G12" s="193">
        <f>'1.ยาทั่วไป'!G12+'2.ยาแพทย์ PCC'!G12+'3.ยาเรื้อรัง 25%'!G12+'4.ยาเรื้อรังฟรี'!G12</f>
        <v>23338.190000000002</v>
      </c>
      <c r="H12" s="193">
        <f>'1.ยาทั่วไป'!H12+'2.ยาแพทย์ PCC'!H12+'3.ยาเรื้อรัง 25%'!H12+'4.ยาเรื้อรังฟรี'!H12</f>
        <v>36392.35</v>
      </c>
      <c r="I12" s="193">
        <f>'1.ยาทั่วไป'!I12+'2.ยาแพทย์ PCC'!I12+'3.ยาเรื้อรัง 25%'!I12+'4.ยาเรื้อรังฟรี'!I12</f>
        <v>47235.94</v>
      </c>
      <c r="J12" s="193">
        <f>'1.ยาทั่วไป'!J12+'2.ยาแพทย์ PCC'!J12+'3.ยาเรื้อรัง 25%'!J12+'4.ยาเรื้อรังฟรี'!J12</f>
        <v>38897.119999999995</v>
      </c>
      <c r="K12" s="193">
        <f>'1.ยาทั่วไป'!K12+'2.ยาแพทย์ PCC'!K12+'3.ยาเรื้อรัง 25%'!K12+'4.ยาเรื้อรังฟรี'!K12</f>
        <v>39956.199999999997</v>
      </c>
      <c r="L12" s="193">
        <f>'1.ยาทั่วไป'!L12+'2.ยาแพทย์ PCC'!L12+'3.ยาเรื้อรัง 25%'!L12+'4.ยาเรื้อรังฟรี'!L12</f>
        <v>65930.95</v>
      </c>
      <c r="M12" s="193">
        <f>'1.ยาทั่วไป'!M12+'2.ยาแพทย์ PCC'!M12+'3.ยาเรื้อรัง 25%'!M12+'4.ยาเรื้อรังฟรี'!M12</f>
        <v>1909</v>
      </c>
      <c r="N12" s="193">
        <f>'1.ยาทั่วไป'!N12+'2.ยาแพทย์ PCC'!N12+'3.ยาเรื้อรัง 25%'!N12+'4.ยาเรื้อรังฟรี'!N12</f>
        <v>54182.69</v>
      </c>
      <c r="O12" s="315">
        <f t="shared" si="1"/>
        <v>433913.52</v>
      </c>
      <c r="P12" s="319">
        <f t="shared" si="0"/>
        <v>8.0475460609803415E-2</v>
      </c>
    </row>
    <row r="13" spans="1:17" ht="19.5" customHeight="1" x14ac:dyDescent="0.45">
      <c r="A13" s="25">
        <v>9</v>
      </c>
      <c r="B13" s="26" t="s">
        <v>6</v>
      </c>
      <c r="C13" s="193">
        <f>'1.ยาทั่วไป'!C13+'2.ยาแพทย์ PCC'!C13+'3.ยาเรื้อรัง 25%'!C13+'4.ยาเรื้อรังฟรี'!C13</f>
        <v>16617.760000000002</v>
      </c>
      <c r="D13" s="193">
        <f>'1.ยาทั่วไป'!D13+'2.ยาแพทย์ PCC'!D13+'3.ยาเรื้อรัง 25%'!D13+'4.ยาเรื้อรังฟรี'!D13</f>
        <v>29187.260000000002</v>
      </c>
      <c r="E13" s="193">
        <f>'1.ยาทั่วไป'!E13+'2.ยาแพทย์ PCC'!E13+'3.ยาเรื้อรัง 25%'!E13+'4.ยาเรื้อรังฟรี'!E13</f>
        <v>13346.220000000001</v>
      </c>
      <c r="F13" s="193">
        <f>'1.ยาทั่วไป'!F13+'2.ยาแพทย์ PCC'!F13+'3.ยาเรื้อรัง 25%'!F13+'4.ยาเรื้อรังฟรี'!F13</f>
        <v>14783.79</v>
      </c>
      <c r="G13" s="193">
        <f>'1.ยาทั่วไป'!G13+'2.ยาแพทย์ PCC'!G13+'3.ยาเรื้อรัง 25%'!G13+'4.ยาเรื้อรังฟรี'!G13</f>
        <v>0</v>
      </c>
      <c r="H13" s="193">
        <f>'1.ยาทั่วไป'!H13+'2.ยาแพทย์ PCC'!H13+'3.ยาเรื้อรัง 25%'!H13+'4.ยาเรื้อรังฟรี'!H13</f>
        <v>11136.33</v>
      </c>
      <c r="I13" s="193">
        <f>'1.ยาทั่วไป'!I13+'2.ยาแพทย์ PCC'!I13+'3.ยาเรื้อรัง 25%'!I13+'4.ยาเรื้อรังฟรี'!I13</f>
        <v>41767.19</v>
      </c>
      <c r="J13" s="193">
        <f>'1.ยาทั่วไป'!J13+'2.ยาแพทย์ PCC'!J13+'3.ยาเรื้อรัง 25%'!J13+'4.ยาเรื้อรังฟรี'!J13</f>
        <v>17441.809999999998</v>
      </c>
      <c r="K13" s="193">
        <f>'1.ยาทั่วไป'!K13+'2.ยาแพทย์ PCC'!K13+'3.ยาเรื้อรัง 25%'!K13+'4.ยาเรื้อรังฟรี'!K13</f>
        <v>5634.49</v>
      </c>
      <c r="L13" s="193">
        <f>'1.ยาทั่วไป'!L13+'2.ยาแพทย์ PCC'!L13+'3.ยาเรื้อรัง 25%'!L13+'4.ยาเรื้อรังฟรี'!L13</f>
        <v>16290.789999999999</v>
      </c>
      <c r="M13" s="193">
        <f>'1.ยาทั่วไป'!M13+'2.ยาแพทย์ PCC'!M13+'3.ยาเรื้อรัง 25%'!M13+'4.ยาเรื้อรังฟรี'!M13</f>
        <v>11877.58</v>
      </c>
      <c r="N13" s="193">
        <f>'1.ยาทั่วไป'!N13+'2.ยาแพทย์ PCC'!N13+'3.ยาเรื้อรัง 25%'!N13+'4.ยาเรื้อรังฟรี'!N13</f>
        <v>4451</v>
      </c>
      <c r="O13" s="315">
        <f t="shared" si="1"/>
        <v>182534.21999999997</v>
      </c>
      <c r="P13" s="319">
        <f t="shared" si="0"/>
        <v>3.3853578546137922E-2</v>
      </c>
    </row>
    <row r="14" spans="1:17" ht="19.5" customHeight="1" x14ac:dyDescent="0.45">
      <c r="A14" s="25">
        <v>10</v>
      </c>
      <c r="B14" s="26" t="s">
        <v>7</v>
      </c>
      <c r="C14" s="193">
        <f>'1.ยาทั่วไป'!C14+'2.ยาแพทย์ PCC'!C14+'3.ยาเรื้อรัง 25%'!C14+'4.ยาเรื้อรังฟรี'!C14</f>
        <v>12798.43</v>
      </c>
      <c r="D14" s="193">
        <f>'1.ยาทั่วไป'!D14+'2.ยาแพทย์ PCC'!D14+'3.ยาเรื้อรัง 25%'!D14+'4.ยาเรื้อรังฟรี'!D14</f>
        <v>10754.560000000001</v>
      </c>
      <c r="E14" s="193">
        <f>'1.ยาทั่วไป'!E14+'2.ยาแพทย์ PCC'!E14+'3.ยาเรื้อรัง 25%'!E14+'4.ยาเรื้อรังฟรี'!E14</f>
        <v>6176.41</v>
      </c>
      <c r="F14" s="193">
        <f>'1.ยาทั่วไป'!F14+'2.ยาแพทย์ PCC'!F14+'3.ยาเรื้อรัง 25%'!F14+'4.ยาเรื้อรังฟรี'!F14</f>
        <v>18987.099999999999</v>
      </c>
      <c r="G14" s="193">
        <f>'1.ยาทั่วไป'!G14+'2.ยาแพทย์ PCC'!G14+'3.ยาเรื้อรัง 25%'!G14+'4.ยาเรื้อรังฟรี'!G14</f>
        <v>5471.6</v>
      </c>
      <c r="H14" s="193">
        <f>'1.ยาทั่วไป'!H14+'2.ยาแพทย์ PCC'!H14+'3.ยาเรื้อรัง 25%'!H14+'4.ยาเรื้อรังฟรี'!H14</f>
        <v>23037.22</v>
      </c>
      <c r="I14" s="193">
        <f>'1.ยาทั่วไป'!I14+'2.ยาแพทย์ PCC'!I14+'3.ยาเรื้อรัง 25%'!I14+'4.ยาเรื้อรังฟรี'!I14</f>
        <v>0</v>
      </c>
      <c r="J14" s="193">
        <f>'1.ยาทั่วไป'!J14+'2.ยาแพทย์ PCC'!J14+'3.ยาเรื้อรัง 25%'!J14+'4.ยาเรื้อรังฟรี'!J14</f>
        <v>31155.82</v>
      </c>
      <c r="K14" s="193">
        <f>'1.ยาทั่วไป'!K14+'2.ยาแพทย์ PCC'!K14+'3.ยาเรื้อรัง 25%'!K14+'4.ยาเรื้อรังฟรี'!K14</f>
        <v>3850</v>
      </c>
      <c r="L14" s="193">
        <f>'1.ยาทั่วไป'!L14+'2.ยาแพทย์ PCC'!L14+'3.ยาเรื้อรัง 25%'!L14+'4.ยาเรื้อรังฟรี'!L14</f>
        <v>7998.5499999999993</v>
      </c>
      <c r="M14" s="193">
        <f>'1.ยาทั่วไป'!M14+'2.ยาแพทย์ PCC'!M14+'3.ยาเรื้อรัง 25%'!M14+'4.ยาเรื้อรังฟรี'!M14</f>
        <v>13055.189999999999</v>
      </c>
      <c r="N14" s="193">
        <f>'1.ยาทั่วไป'!N14+'2.ยาแพทย์ PCC'!N14+'3.ยาเรื้อรัง 25%'!N14+'4.ยาเรื้อรังฟรี'!N14</f>
        <v>8368.7199999999993</v>
      </c>
      <c r="O14" s="315">
        <f t="shared" si="1"/>
        <v>141653.6</v>
      </c>
      <c r="P14" s="319">
        <f t="shared" si="0"/>
        <v>2.6271683599618765E-2</v>
      </c>
    </row>
    <row r="15" spans="1:17" ht="19.5" customHeight="1" x14ac:dyDescent="0.45">
      <c r="A15" s="25">
        <v>11</v>
      </c>
      <c r="B15" s="26" t="s">
        <v>8</v>
      </c>
      <c r="C15" s="193">
        <f>'1.ยาทั่วไป'!C15+'2.ยาแพทย์ PCC'!C15+'3.ยาเรื้อรัง 25%'!C15+'4.ยาเรื้อรังฟรี'!C15</f>
        <v>17359.255499999999</v>
      </c>
      <c r="D15" s="193">
        <f>'1.ยาทั่วไป'!D15+'2.ยาแพทย์ PCC'!D15+'3.ยาเรื้อรัง 25%'!D15+'4.ยาเรื้อรังฟรี'!D15</f>
        <v>14529.23</v>
      </c>
      <c r="E15" s="193">
        <f>'1.ยาทั่วไป'!E15+'2.ยาแพทย์ PCC'!E15+'3.ยาเรื้อรัง 25%'!E15+'4.ยาเรื้อรังฟรี'!E15</f>
        <v>13139.95</v>
      </c>
      <c r="F15" s="193">
        <f>'1.ยาทั่วไป'!F15+'2.ยาแพทย์ PCC'!F15+'3.ยาเรื้อรัง 25%'!F15+'4.ยาเรื้อรังฟรี'!F15</f>
        <v>28218</v>
      </c>
      <c r="G15" s="193">
        <f>'1.ยาทั่วไป'!G15+'2.ยาแพทย์ PCC'!G15+'3.ยาเรื้อรัง 25%'!G15+'4.ยาเรื้อรังฟรี'!G15</f>
        <v>7117.35</v>
      </c>
      <c r="H15" s="193">
        <f>'1.ยาทั่วไป'!H15+'2.ยาแพทย์ PCC'!H15+'3.ยาเรื้อรัง 25%'!H15+'4.ยาเรื้อรังฟรี'!H15</f>
        <v>24178.57</v>
      </c>
      <c r="I15" s="193">
        <f>'1.ยาทั่วไป'!I15+'2.ยาแพทย์ PCC'!I15+'3.ยาเรื้อรัง 25%'!I15+'4.ยาเรื้อรังฟรี'!I15</f>
        <v>26123.35</v>
      </c>
      <c r="J15" s="193">
        <f>'1.ยาทั่วไป'!J15+'2.ยาแพทย์ PCC'!J15+'3.ยาเรื้อรัง 25%'!J15+'4.ยาเรื้อรังฟรี'!J15</f>
        <v>27047.68</v>
      </c>
      <c r="K15" s="193">
        <f>'1.ยาทั่วไป'!K15+'2.ยาแพทย์ PCC'!K15+'3.ยาเรื้อรัง 25%'!K15+'4.ยาเรื้อรังฟรี'!K15</f>
        <v>17898.5</v>
      </c>
      <c r="L15" s="193">
        <f>'1.ยาทั่วไป'!L15+'2.ยาแพทย์ PCC'!L15+'3.ยาเรื้อรัง 25%'!L15+'4.ยาเรื้อรังฟรี'!L15</f>
        <v>10495.95</v>
      </c>
      <c r="M15" s="193">
        <f>'1.ยาทั่วไป'!M15+'2.ยาแพทย์ PCC'!M15+'3.ยาเรื้อรัง 25%'!M15+'4.ยาเรื้อรังฟรี'!M15</f>
        <v>29676.54</v>
      </c>
      <c r="N15" s="193">
        <f>'1.ยาทั่วไป'!N15+'2.ยาแพทย์ PCC'!N15+'3.ยาเรื้อรัง 25%'!N15+'4.ยาเรื้อรังฟรี'!N15</f>
        <v>13304.439999999999</v>
      </c>
      <c r="O15" s="315">
        <f t="shared" si="1"/>
        <v>229088.81550000003</v>
      </c>
      <c r="P15" s="319">
        <f t="shared" si="0"/>
        <v>4.2487793300187496E-2</v>
      </c>
    </row>
    <row r="16" spans="1:17" ht="19.5" customHeight="1" x14ac:dyDescent="0.45">
      <c r="A16" s="25">
        <v>12</v>
      </c>
      <c r="B16" s="26" t="s">
        <v>9</v>
      </c>
      <c r="C16" s="193">
        <f>'1.ยาทั่วไป'!C16+'2.ยาแพทย์ PCC'!C16+'3.ยาเรื้อรัง 25%'!C16+'4.ยาเรื้อรังฟรี'!C16</f>
        <v>12922</v>
      </c>
      <c r="D16" s="193">
        <f>'1.ยาทั่วไป'!D16+'2.ยาแพทย์ PCC'!D16+'3.ยาเรื้อรัง 25%'!D16+'4.ยาเรื้อรังฟรี'!D16</f>
        <v>9833.4399999999987</v>
      </c>
      <c r="E16" s="193">
        <f>'1.ยาทั่วไป'!E16+'2.ยาแพทย์ PCC'!E16+'3.ยาเรื้อรัง 25%'!E16+'4.ยาเรื้อรังฟรี'!E16</f>
        <v>9284.7900000000009</v>
      </c>
      <c r="F16" s="193">
        <f>'1.ยาทั่วไป'!F16+'2.ยาแพทย์ PCC'!F16+'3.ยาเรื้อรัง 25%'!F16+'4.ยาเรื้อรังฟรี'!F16</f>
        <v>13272.51</v>
      </c>
      <c r="G16" s="193">
        <f>'1.ยาทั่วไป'!G16+'2.ยาแพทย์ PCC'!G16+'3.ยาเรื้อรัง 25%'!G16+'4.ยาเรื้อรังฟรี'!G16</f>
        <v>17710.97</v>
      </c>
      <c r="H16" s="193">
        <f>'1.ยาทั่วไป'!H16+'2.ยาแพทย์ PCC'!H16+'3.ยาเรื้อรัง 25%'!H16+'4.ยาเรื้อรังฟรี'!H16</f>
        <v>14909.45</v>
      </c>
      <c r="I16" s="193">
        <f>'1.ยาทั่วไป'!I16+'2.ยาแพทย์ PCC'!I16+'3.ยาเรื้อรัง 25%'!I16+'4.ยาเรื้อรังฟรี'!I16</f>
        <v>13189.099999999999</v>
      </c>
      <c r="J16" s="193">
        <f>'1.ยาทั่วไป'!J16+'2.ยาแพทย์ PCC'!J16+'3.ยาเรื้อรัง 25%'!J16+'4.ยาเรื้อรังฟรี'!J16</f>
        <v>11544.17</v>
      </c>
      <c r="K16" s="193">
        <f>'1.ยาทั่วไป'!K16+'2.ยาแพทย์ PCC'!K16+'3.ยาเรื้อรัง 25%'!K16+'4.ยาเรื้อรังฟรี'!K16</f>
        <v>12868.119999999999</v>
      </c>
      <c r="L16" s="193">
        <f>'1.ยาทั่วไป'!L16+'2.ยาแพทย์ PCC'!L16+'3.ยาเรื้อรัง 25%'!L16+'4.ยาเรื้อรังฟรี'!L16</f>
        <v>10413.92</v>
      </c>
      <c r="M16" s="193">
        <f>'1.ยาทั่วไป'!M16+'2.ยาแพทย์ PCC'!M16+'3.ยาเรื้อรัง 25%'!M16+'4.ยาเรื้อรังฟรี'!M16</f>
        <v>12218.17</v>
      </c>
      <c r="N16" s="193">
        <f>'1.ยาทั่วไป'!N16+'2.ยาแพทย์ PCC'!N16+'3.ยาเรื้อรัง 25%'!N16+'4.ยาเรื้อรังฟรี'!N16</f>
        <v>12560.57</v>
      </c>
      <c r="O16" s="315">
        <f t="shared" si="1"/>
        <v>150727.21000000002</v>
      </c>
      <c r="P16" s="319">
        <f t="shared" si="0"/>
        <v>2.7954514187943643E-2</v>
      </c>
    </row>
    <row r="17" spans="1:16" ht="19.5" customHeight="1" x14ac:dyDescent="0.45">
      <c r="A17" s="25">
        <v>13</v>
      </c>
      <c r="B17" s="26" t="s">
        <v>10</v>
      </c>
      <c r="C17" s="193">
        <f>'1.ยาทั่วไป'!C17+'2.ยาแพทย์ PCC'!C17+'3.ยาเรื้อรัง 25%'!C17+'4.ยาเรื้อรังฟรี'!C17</f>
        <v>0</v>
      </c>
      <c r="D17" s="193">
        <f>'1.ยาทั่วไป'!D17+'2.ยาแพทย์ PCC'!D17+'3.ยาเรื้อรัง 25%'!D17+'4.ยาเรื้อรังฟรี'!D17</f>
        <v>21997.21</v>
      </c>
      <c r="E17" s="193">
        <f>'1.ยาทั่วไป'!E17+'2.ยาแพทย์ PCC'!E17+'3.ยาเรื้อรัง 25%'!E17+'4.ยาเรื้อรังฟรี'!E17</f>
        <v>15888.29</v>
      </c>
      <c r="F17" s="193">
        <f>'1.ยาทั่วไป'!F17+'2.ยาแพทย์ PCC'!F17+'3.ยาเรื้อรัง 25%'!F17+'4.ยาเรื้อรังฟรี'!F17</f>
        <v>22204.549999999996</v>
      </c>
      <c r="G17" s="193">
        <f>'1.ยาทั่วไป'!G17+'2.ยาแพทย์ PCC'!G17+'3.ยาเรื้อรัง 25%'!G17+'4.ยาเรื้อรังฟรี'!G17</f>
        <v>27719.1</v>
      </c>
      <c r="H17" s="193">
        <f>'1.ยาทั่วไป'!H17+'2.ยาแพทย์ PCC'!H17+'3.ยาเรื้อรัง 25%'!H17+'4.ยาเรื้อรังฟรี'!H17</f>
        <v>41.24</v>
      </c>
      <c r="I17" s="193">
        <f>'1.ยาทั่วไป'!I17+'2.ยาแพทย์ PCC'!I17+'3.ยาเรื้อรัง 25%'!I17+'4.ยาเรื้อรังฟรี'!I17</f>
        <v>17306.39</v>
      </c>
      <c r="J17" s="193">
        <f>'1.ยาทั่วไป'!J17+'2.ยาแพทย์ PCC'!J17+'3.ยาเรื้อรัง 25%'!J17+'4.ยาเรื้อรังฟรี'!J17</f>
        <v>17815.3</v>
      </c>
      <c r="K17" s="193">
        <f>'1.ยาทั่วไป'!K17+'2.ยาแพทย์ PCC'!K17+'3.ยาเรื้อรัง 25%'!K17+'4.ยาเรื้อรังฟรี'!K17</f>
        <v>10828.32</v>
      </c>
      <c r="L17" s="193">
        <f>'1.ยาทั่วไป'!L17+'2.ยาแพทย์ PCC'!L17+'3.ยาเรื้อรัง 25%'!L17+'4.ยาเรื้อรังฟรี'!L17</f>
        <v>9181.0400000000009</v>
      </c>
      <c r="M17" s="193">
        <f>'1.ยาทั่วไป'!M17+'2.ยาแพทย์ PCC'!M17+'3.ยาเรื้อรัง 25%'!M17+'4.ยาเรื้อรังฟรี'!M17</f>
        <v>36348.339999999997</v>
      </c>
      <c r="N17" s="193">
        <f>'1.ยาทั่วไป'!N17+'2.ยาแพทย์ PCC'!N17+'3.ยาเรื้อรัง 25%'!N17+'4.ยาเรื้อรังฟรี'!N17</f>
        <v>14027.97</v>
      </c>
      <c r="O17" s="315">
        <f t="shared" si="1"/>
        <v>193357.75</v>
      </c>
      <c r="P17" s="319">
        <f t="shared" si="0"/>
        <v>3.5860956795550444E-2</v>
      </c>
    </row>
    <row r="18" spans="1:16" ht="19.5" customHeight="1" x14ac:dyDescent="0.45">
      <c r="A18" s="25">
        <v>14</v>
      </c>
      <c r="B18" s="26" t="s">
        <v>11</v>
      </c>
      <c r="C18" s="193">
        <f>'1.ยาทั่วไป'!C18+'2.ยาแพทย์ PCC'!C18+'3.ยาเรื้อรัง 25%'!C18+'4.ยาเรื้อรังฟรี'!C18</f>
        <v>1263.2</v>
      </c>
      <c r="D18" s="193">
        <f>'1.ยาทั่วไป'!D18+'2.ยาแพทย์ PCC'!D18+'3.ยาเรื้อรัง 25%'!D18+'4.ยาเรื้อรังฟรี'!D18</f>
        <v>16055.72</v>
      </c>
      <c r="E18" s="193">
        <f>'1.ยาทั่วไป'!E18+'2.ยาแพทย์ PCC'!E18+'3.ยาเรื้อรัง 25%'!E18+'4.ยาเรื้อรังฟรี'!E18</f>
        <v>8098.44</v>
      </c>
      <c r="F18" s="193">
        <f>'1.ยาทั่วไป'!F18+'2.ยาแพทย์ PCC'!F18+'3.ยาเรื้อรัง 25%'!F18+'4.ยาเรื้อรังฟรี'!F18</f>
        <v>10669.98</v>
      </c>
      <c r="G18" s="193">
        <f>'1.ยาทั่วไป'!G18+'2.ยาแพทย์ PCC'!G18+'3.ยาเรื้อรัง 25%'!G18+'4.ยาเรื้อรังฟรี'!G18</f>
        <v>3301.1</v>
      </c>
      <c r="H18" s="193">
        <f>'1.ยาทั่วไป'!H18+'2.ยาแพทย์ PCC'!H18+'3.ยาเรื้อรัง 25%'!H18+'4.ยาเรื้อรังฟรี'!H18</f>
        <v>5992.3</v>
      </c>
      <c r="I18" s="193">
        <f>'1.ยาทั่วไป'!I18+'2.ยาแพทย์ PCC'!I18+'3.ยาเรื้อรัง 25%'!I18+'4.ยาเรื้อรังฟรี'!I18</f>
        <v>7591.81</v>
      </c>
      <c r="J18" s="193">
        <f>'1.ยาทั่วไป'!J18+'2.ยาแพทย์ PCC'!J18+'3.ยาเรื้อรัง 25%'!J18+'4.ยาเรื้อรังฟรี'!J18</f>
        <v>8512.0400000000009</v>
      </c>
      <c r="K18" s="193">
        <f>'1.ยาทั่วไป'!K18+'2.ยาแพทย์ PCC'!K18+'3.ยาเรื้อรัง 25%'!K18+'4.ยาเรื้อรังฟรี'!K18</f>
        <v>8447.2999999999993</v>
      </c>
      <c r="L18" s="193">
        <f>'1.ยาทั่วไป'!L18+'2.ยาแพทย์ PCC'!L18+'3.ยาเรื้อรัง 25%'!L18+'4.ยาเรื้อรังฟรี'!L18</f>
        <v>6595.89</v>
      </c>
      <c r="M18" s="193">
        <f>'1.ยาทั่วไป'!M18+'2.ยาแพทย์ PCC'!M18+'3.ยาเรื้อรัง 25%'!M18+'4.ยาเรื้อรังฟรี'!M18</f>
        <v>21272.55</v>
      </c>
      <c r="N18" s="193">
        <f>'1.ยาทั่วไป'!N18+'2.ยาแพทย์ PCC'!N18+'3.ยาเรื้อรัง 25%'!N18+'4.ยาเรื้อรังฟรี'!N18</f>
        <v>0</v>
      </c>
      <c r="O18" s="315">
        <f t="shared" si="1"/>
        <v>97800.33</v>
      </c>
      <c r="P18" s="319">
        <f t="shared" si="0"/>
        <v>1.8138468247176937E-2</v>
      </c>
    </row>
    <row r="19" spans="1:16" ht="19.5" customHeight="1" x14ac:dyDescent="0.45">
      <c r="A19" s="25">
        <v>15</v>
      </c>
      <c r="B19" s="26" t="s">
        <v>12</v>
      </c>
      <c r="C19" s="193">
        <f>'1.ยาทั่วไป'!C19+'2.ยาแพทย์ PCC'!C19+'3.ยาเรื้อรัง 25%'!C19+'4.ยาเรื้อรังฟรี'!C19</f>
        <v>17030.599999999999</v>
      </c>
      <c r="D19" s="193">
        <f>'1.ยาทั่วไป'!D19+'2.ยาแพทย์ PCC'!D19+'3.ยาเรื้อรัง 25%'!D19+'4.ยาเรื้อรังฟรี'!D19</f>
        <v>65354.590000000011</v>
      </c>
      <c r="E19" s="193">
        <f>'1.ยาทั่วไป'!E19+'2.ยาแพทย์ PCC'!E19+'3.ยาเรื้อรัง 25%'!E19+'4.ยาเรื้อรังฟรี'!E19</f>
        <v>50933.040000000008</v>
      </c>
      <c r="F19" s="193">
        <f>'1.ยาทั่วไป'!F19+'2.ยาแพทย์ PCC'!F19+'3.ยาเรื้อรัง 25%'!F19+'4.ยาเรื้อรังฟรี'!F19</f>
        <v>18438.599999999999</v>
      </c>
      <c r="G19" s="193">
        <f>'1.ยาทั่วไป'!G19+'2.ยาแพทย์ PCC'!G19+'3.ยาเรื้อรัง 25%'!G19+'4.ยาเรื้อรังฟรี'!G19</f>
        <v>24290.12</v>
      </c>
      <c r="H19" s="193">
        <f>'1.ยาทั่วไป'!H19+'2.ยาแพทย์ PCC'!H19+'3.ยาเรื้อรัง 25%'!H19+'4.ยาเรื้อรังฟรี'!H19</f>
        <v>46442.869999999995</v>
      </c>
      <c r="I19" s="193">
        <f>'1.ยาทั่วไป'!I19+'2.ยาแพทย์ PCC'!I19+'3.ยาเรื้อรัง 25%'!I19+'4.ยาเรื้อรังฟรี'!I19</f>
        <v>40263.550000000003</v>
      </c>
      <c r="J19" s="193">
        <f>'1.ยาทั่วไป'!J19+'2.ยาแพทย์ PCC'!J19+'3.ยาเรื้อรัง 25%'!J19+'4.ยาเรื้อรังฟรี'!J19</f>
        <v>39272.42</v>
      </c>
      <c r="K19" s="193">
        <f>'1.ยาทั่วไป'!K19+'2.ยาแพทย์ PCC'!K19+'3.ยาเรื้อรัง 25%'!K19+'4.ยาเรื้อรังฟรี'!K19</f>
        <v>62865.009999999995</v>
      </c>
      <c r="L19" s="193">
        <f>'1.ยาทั่วไป'!L19+'2.ยาแพทย์ PCC'!L19+'3.ยาเรื้อรัง 25%'!L19+'4.ยาเรื้อรังฟรี'!L19</f>
        <v>47877.32</v>
      </c>
      <c r="M19" s="193">
        <f>'1.ยาทั่วไป'!M19+'2.ยาแพทย์ PCC'!M19+'3.ยาเรื้อรัง 25%'!M19+'4.ยาเรื้อรังฟรี'!M19</f>
        <v>31305.620000000003</v>
      </c>
      <c r="N19" s="193">
        <f>'1.ยาทั่วไป'!N19+'2.ยาแพทย์ PCC'!N19+'3.ยาเรื้อรัง 25%'!N19+'4.ยาเรื้อรังฟรี'!N19</f>
        <v>24487.3</v>
      </c>
      <c r="O19" s="315">
        <f t="shared" si="1"/>
        <v>468561.04</v>
      </c>
      <c r="P19" s="319">
        <f t="shared" si="0"/>
        <v>8.690133812333968E-2</v>
      </c>
    </row>
    <row r="20" spans="1:16" ht="19.5" customHeight="1" x14ac:dyDescent="0.45">
      <c r="A20" s="25">
        <v>16</v>
      </c>
      <c r="B20" s="26" t="s">
        <v>13</v>
      </c>
      <c r="C20" s="193">
        <f>'1.ยาทั่วไป'!C20+'2.ยาแพทย์ PCC'!C20+'3.ยาเรื้อรัง 25%'!C20+'4.ยาเรื้อรังฟรี'!C20</f>
        <v>0</v>
      </c>
      <c r="D20" s="193">
        <f>'1.ยาทั่วไป'!D20+'2.ยาแพทย์ PCC'!D20+'3.ยาเรื้อรัง 25%'!D20+'4.ยาเรื้อรังฟรี'!D20</f>
        <v>4430</v>
      </c>
      <c r="E20" s="193">
        <f>'1.ยาทั่วไป'!E20+'2.ยาแพทย์ PCC'!E20+'3.ยาเรื้อรัง 25%'!E20+'4.ยาเรื้อรังฟรี'!E20</f>
        <v>0</v>
      </c>
      <c r="F20" s="193">
        <f>'1.ยาทั่วไป'!F20+'2.ยาแพทย์ PCC'!F20+'3.ยาเรื้อรัง 25%'!F20+'4.ยาเรื้อรังฟรี'!F20</f>
        <v>0</v>
      </c>
      <c r="G20" s="193">
        <f>'1.ยาทั่วไป'!G20+'2.ยาแพทย์ PCC'!G20+'3.ยาเรื้อรัง 25%'!G20+'4.ยาเรื้อรังฟรี'!G20</f>
        <v>6791.15</v>
      </c>
      <c r="H20" s="193">
        <f>'1.ยาทั่วไป'!H20+'2.ยาแพทย์ PCC'!H20+'3.ยาเรื้อรัง 25%'!H20+'4.ยาเรื้อรังฟรี'!H20</f>
        <v>14061.51</v>
      </c>
      <c r="I20" s="193">
        <f>'1.ยาทั่วไป'!I20+'2.ยาแพทย์ PCC'!I20+'3.ยาเรื้อรัง 25%'!I20+'4.ยาเรื้อรังฟรี'!I20</f>
        <v>11498.8</v>
      </c>
      <c r="J20" s="193">
        <f>'1.ยาทั่วไป'!J20+'2.ยาแพทย์ PCC'!J20+'3.ยาเรื้อรัง 25%'!J20+'4.ยาเรื้อรังฟรี'!J20</f>
        <v>4963.3999999999996</v>
      </c>
      <c r="K20" s="193">
        <f>'1.ยาทั่วไป'!K20+'2.ยาแพทย์ PCC'!K20+'3.ยาเรื้อรัง 25%'!K20+'4.ยาเรื้อรังฟรี'!K20</f>
        <v>12102.599999999999</v>
      </c>
      <c r="L20" s="193">
        <f>'1.ยาทั่วไป'!L20+'2.ยาแพทย์ PCC'!L20+'3.ยาเรื้อรัง 25%'!L20+'4.ยาเรื้อรังฟรี'!L20</f>
        <v>13927.35</v>
      </c>
      <c r="M20" s="193">
        <f>'1.ยาทั่วไป'!M20+'2.ยาแพทย์ PCC'!M20+'3.ยาเรื้อรัง 25%'!M20+'4.ยาเรื้อรังฟรี'!M20</f>
        <v>11687.64</v>
      </c>
      <c r="N20" s="193">
        <f>'1.ยาทั่วไป'!N20+'2.ยาแพทย์ PCC'!N20+'3.ยาเรื้อรัง 25%'!N20+'4.ยาเรื้อรังฟรี'!N20</f>
        <v>12532.619999999999</v>
      </c>
      <c r="O20" s="315">
        <f t="shared" si="1"/>
        <v>91995.069999999992</v>
      </c>
      <c r="P20" s="319">
        <f t="shared" si="0"/>
        <v>1.7061799853761429E-2</v>
      </c>
    </row>
    <row r="21" spans="1:16" ht="19.5" customHeight="1" x14ac:dyDescent="0.45">
      <c r="A21" s="25">
        <v>17</v>
      </c>
      <c r="B21" s="26" t="s">
        <v>14</v>
      </c>
      <c r="C21" s="193">
        <f>'1.ยาทั่วไป'!C21+'2.ยาแพทย์ PCC'!C21+'3.ยาเรื้อรัง 25%'!C21+'4.ยาเรื้อรังฟรี'!C21</f>
        <v>23032.23</v>
      </c>
      <c r="D21" s="193">
        <f>'1.ยาทั่วไป'!D21+'2.ยาแพทย์ PCC'!D21+'3.ยาเรื้อรัง 25%'!D21+'4.ยาเรื้อรังฟรี'!D21</f>
        <v>29623.43</v>
      </c>
      <c r="E21" s="193">
        <f>'1.ยาทั่วไป'!E21+'2.ยาแพทย์ PCC'!E21+'3.ยาเรื้อรัง 25%'!E21+'4.ยาเรื้อรังฟรี'!E21</f>
        <v>15420.27</v>
      </c>
      <c r="F21" s="193">
        <f>'1.ยาทั่วไป'!F21+'2.ยาแพทย์ PCC'!F21+'3.ยาเรื้อรัง 25%'!F21+'4.ยาเรื้อรังฟรี'!F21</f>
        <v>15960.01</v>
      </c>
      <c r="G21" s="193">
        <f>'1.ยาทั่วไป'!G21+'2.ยาแพทย์ PCC'!G21+'3.ยาเรื้อรัง 25%'!G21+'4.ยาเรื้อรังฟรี'!G21</f>
        <v>13316.05</v>
      </c>
      <c r="H21" s="193">
        <f>'1.ยาทั่วไป'!H21+'2.ยาแพทย์ PCC'!H21+'3.ยาเรื้อรัง 25%'!H21+'4.ยาเรื้อรังฟรี'!H21</f>
        <v>18984.189999999999</v>
      </c>
      <c r="I21" s="193">
        <f>'1.ยาทั่วไป'!I21+'2.ยาแพทย์ PCC'!I21+'3.ยาเรื้อรัง 25%'!I21+'4.ยาเรื้อรังฟรี'!I21</f>
        <v>19705.8</v>
      </c>
      <c r="J21" s="193">
        <f>'1.ยาทั่วไป'!J21+'2.ยาแพทย์ PCC'!J21+'3.ยาเรื้อรัง 25%'!J21+'4.ยาเรื้อรังฟรี'!J21</f>
        <v>12299.18</v>
      </c>
      <c r="K21" s="193">
        <f>'1.ยาทั่วไป'!K21+'2.ยาแพทย์ PCC'!K21+'3.ยาเรื้อรัง 25%'!K21+'4.ยาเรื้อรังฟรี'!K21</f>
        <v>13345.89</v>
      </c>
      <c r="L21" s="193">
        <f>'1.ยาทั่วไป'!L21+'2.ยาแพทย์ PCC'!L21+'3.ยาเรื้อรัง 25%'!L21+'4.ยาเรื้อรังฟรี'!L21</f>
        <v>23137.78</v>
      </c>
      <c r="M21" s="193">
        <f>'1.ยาทั่วไป'!M21+'2.ยาแพทย์ PCC'!M21+'3.ยาเรื้อรัง 25%'!M21+'4.ยาเรื้อรังฟรี'!M21</f>
        <v>31282.39</v>
      </c>
      <c r="N21" s="193">
        <f>'1.ยาทั่วไป'!N21+'2.ยาแพทย์ PCC'!N21+'3.ยาเรื้อรัง 25%'!N21+'4.ยาเรื้อรังฟรี'!N21</f>
        <v>27567.17</v>
      </c>
      <c r="O21" s="315">
        <f t="shared" si="1"/>
        <v>243674.38999999996</v>
      </c>
      <c r="P21" s="319">
        <f t="shared" si="0"/>
        <v>4.5192896441813728E-2</v>
      </c>
    </row>
    <row r="22" spans="1:16" ht="19.5" customHeight="1" x14ac:dyDescent="0.45">
      <c r="A22" s="25">
        <v>18</v>
      </c>
      <c r="B22" s="26" t="s">
        <v>15</v>
      </c>
      <c r="C22" s="193">
        <f>'1.ยาทั่วไป'!C22+'2.ยาแพทย์ PCC'!C22+'3.ยาเรื้อรัง 25%'!C22+'4.ยาเรื้อรังฟรี'!C22</f>
        <v>9541.4599999999991</v>
      </c>
      <c r="D22" s="193">
        <f>'1.ยาทั่วไป'!D22+'2.ยาแพทย์ PCC'!D22+'3.ยาเรื้อรัง 25%'!D22+'4.ยาเรื้อรังฟรี'!D22</f>
        <v>2419.9899999999998</v>
      </c>
      <c r="E22" s="193">
        <f>'1.ยาทั่วไป'!E22+'2.ยาแพทย์ PCC'!E22+'3.ยาเรื้อรัง 25%'!E22+'4.ยาเรื้อรังฟรี'!E22</f>
        <v>4889.2000000000007</v>
      </c>
      <c r="F22" s="193">
        <f>'1.ยาทั่วไป'!F22+'2.ยาแพทย์ PCC'!F22+'3.ยาเรื้อรัง 25%'!F22+'4.ยาเรื้อรังฟรี'!F22</f>
        <v>6402</v>
      </c>
      <c r="G22" s="193">
        <f>'1.ยาทั่วไป'!G22+'2.ยาแพทย์ PCC'!G22+'3.ยาเรื้อรัง 25%'!G22+'4.ยาเรื้อรังฟรี'!G22</f>
        <v>4646.84</v>
      </c>
      <c r="H22" s="193">
        <f>'1.ยาทั่วไป'!H22+'2.ยาแพทย์ PCC'!H22+'3.ยาเรื้อรัง 25%'!H22+'4.ยาเรื้อรังฟรี'!H22</f>
        <v>3448.4700000000003</v>
      </c>
      <c r="I22" s="193">
        <f>'1.ยาทั่วไป'!I22+'2.ยาแพทย์ PCC'!I22+'3.ยาเรื้อรัง 25%'!I22+'4.ยาเรื้อรังฟรี'!I22</f>
        <v>6295.08</v>
      </c>
      <c r="J22" s="193">
        <f>'1.ยาทั่วไป'!J22+'2.ยาแพทย์ PCC'!J22+'3.ยาเรื้อรัง 25%'!J22+'4.ยาเรื้อรังฟรี'!J22</f>
        <v>0</v>
      </c>
      <c r="K22" s="193">
        <f>'1.ยาทั่วไป'!K22+'2.ยาแพทย์ PCC'!K22+'3.ยาเรื้อรัง 25%'!K22+'4.ยาเรื้อรังฟรี'!K22</f>
        <v>9713.76</v>
      </c>
      <c r="L22" s="193">
        <f>'1.ยาทั่วไป'!L22+'2.ยาแพทย์ PCC'!L22+'3.ยาเรื้อรัง 25%'!L22+'4.ยาเรื้อรังฟรี'!L22</f>
        <v>16295.76</v>
      </c>
      <c r="M22" s="193">
        <f>'1.ยาทั่วไป'!M22+'2.ยาแพทย์ PCC'!M22+'3.ยาเรื้อรัง 25%'!M22+'4.ยาเรื้อรังฟรี'!M22</f>
        <v>19446.95</v>
      </c>
      <c r="N22" s="193">
        <f>'1.ยาทั่วไป'!N22+'2.ยาแพทย์ PCC'!N22+'3.ยาเรื้อรัง 25%'!N22+'4.ยาเรื้อรังฟรี'!N22</f>
        <v>0</v>
      </c>
      <c r="O22" s="315">
        <f t="shared" si="1"/>
        <v>83099.510000000009</v>
      </c>
      <c r="P22" s="319">
        <f t="shared" si="0"/>
        <v>1.541199118132794E-2</v>
      </c>
    </row>
    <row r="23" spans="1:16" s="171" customFormat="1" ht="19.5" customHeight="1" x14ac:dyDescent="0.45">
      <c r="A23" s="45">
        <v>5.486111111111111E-2</v>
      </c>
      <c r="B23" s="154" t="s">
        <v>22</v>
      </c>
      <c r="C23" s="195">
        <f t="shared" ref="C23:N23" si="2">SUM(C5:C22)</f>
        <v>422453.74549999996</v>
      </c>
      <c r="D23" s="195">
        <f t="shared" si="2"/>
        <v>574228.63</v>
      </c>
      <c r="E23" s="195">
        <f t="shared" si="2"/>
        <v>318164.10000000003</v>
      </c>
      <c r="F23" s="195">
        <f t="shared" si="2"/>
        <v>503236.08999999991</v>
      </c>
      <c r="G23" s="195">
        <f t="shared" si="2"/>
        <v>358619.06</v>
      </c>
      <c r="H23" s="195">
        <f t="shared" si="2"/>
        <v>482320.67999999993</v>
      </c>
      <c r="I23" s="195">
        <f t="shared" si="2"/>
        <v>392131.20999999996</v>
      </c>
      <c r="J23" s="195">
        <f t="shared" si="2"/>
        <v>469724.49</v>
      </c>
      <c r="K23" s="195">
        <f t="shared" si="2"/>
        <v>404153.27</v>
      </c>
      <c r="L23" s="195">
        <f t="shared" si="2"/>
        <v>522598.11</v>
      </c>
      <c r="M23" s="195">
        <f t="shared" si="2"/>
        <v>470431.69000000006</v>
      </c>
      <c r="N23" s="195">
        <f t="shared" si="2"/>
        <v>473812.62999999995</v>
      </c>
      <c r="O23" s="316">
        <f t="shared" si="1"/>
        <v>5391873.7055000002</v>
      </c>
      <c r="P23" s="320">
        <f t="shared" si="0"/>
        <v>1</v>
      </c>
    </row>
    <row r="24" spans="1:16" ht="19.5" customHeight="1" x14ac:dyDescent="0.45">
      <c r="A24" s="30">
        <v>20</v>
      </c>
      <c r="B24" s="26" t="s">
        <v>16</v>
      </c>
      <c r="C24" s="193">
        <f>'1.ยาทั่วไป'!C24</f>
        <v>3231.4</v>
      </c>
      <c r="D24" s="193">
        <f>'1.ยาทั่วไป'!D24</f>
        <v>21496.969999999998</v>
      </c>
      <c r="E24" s="193">
        <f>'1.ยาทั่วไป'!E24</f>
        <v>6564.08</v>
      </c>
      <c r="F24" s="193">
        <f>'1.ยาทั่วไป'!F24</f>
        <v>6084.39</v>
      </c>
      <c r="G24" s="193">
        <f>'1.ยาทั่วไป'!G24</f>
        <v>6410.32</v>
      </c>
      <c r="H24" s="193">
        <f>'1.ยาทั่วไป'!H24</f>
        <v>3799.9</v>
      </c>
      <c r="I24" s="193">
        <f>'1.ยาทั่วไป'!I24</f>
        <v>9090.7899999999991</v>
      </c>
      <c r="J24" s="193">
        <f>'1.ยาทั่วไป'!J24</f>
        <v>17641.29</v>
      </c>
      <c r="K24" s="193">
        <f>'1.ยาทั่วไป'!K24</f>
        <v>18406.68</v>
      </c>
      <c r="L24" s="193">
        <f>'1.ยาทั่วไป'!L24</f>
        <v>19904.219999999998</v>
      </c>
      <c r="M24" s="193">
        <f>'1.ยาทั่วไป'!M24</f>
        <v>29419.78</v>
      </c>
      <c r="N24" s="193">
        <f>'1.ยาทั่วไป'!N24</f>
        <v>8640.92</v>
      </c>
      <c r="O24" s="315">
        <f t="shared" si="1"/>
        <v>150690.74000000002</v>
      </c>
      <c r="P24" s="319">
        <f t="shared" si="0"/>
        <v>2.794775030548052E-2</v>
      </c>
    </row>
    <row r="25" spans="1:16" ht="19.5" customHeight="1" x14ac:dyDescent="0.45">
      <c r="A25" s="30">
        <v>21</v>
      </c>
      <c r="B25" s="26" t="s">
        <v>17</v>
      </c>
      <c r="C25" s="193">
        <f>'1.ยาทั่วไป'!C25</f>
        <v>0</v>
      </c>
      <c r="D25" s="193">
        <f>'1.ยาทั่วไป'!D25</f>
        <v>0</v>
      </c>
      <c r="E25" s="193">
        <f>'1.ยาทั่วไป'!E25</f>
        <v>0</v>
      </c>
      <c r="F25" s="193">
        <f>'1.ยาทั่วไป'!F25</f>
        <v>0</v>
      </c>
      <c r="G25" s="193">
        <f>'1.ยาทั่วไป'!G25</f>
        <v>0</v>
      </c>
      <c r="H25" s="193">
        <f>'1.ยาทั่วไป'!H25</f>
        <v>2385.0300000000002</v>
      </c>
      <c r="I25" s="193">
        <f>'1.ยาทั่วไป'!I25</f>
        <v>0</v>
      </c>
      <c r="J25" s="193">
        <f>'1.ยาทั่วไป'!J25</f>
        <v>0</v>
      </c>
      <c r="K25" s="193">
        <f>'1.ยาทั่วไป'!K25</f>
        <v>0</v>
      </c>
      <c r="L25" s="193">
        <f>'1.ยาทั่วไป'!L25</f>
        <v>0</v>
      </c>
      <c r="M25" s="193">
        <f>'1.ยาทั่วไป'!M25</f>
        <v>0</v>
      </c>
      <c r="N25" s="193">
        <f>'1.ยาทั่วไป'!N25</f>
        <v>0</v>
      </c>
      <c r="O25" s="315">
        <f t="shared" si="1"/>
        <v>2385.0300000000002</v>
      </c>
      <c r="P25" s="319">
        <f t="shared" si="0"/>
        <v>4.4233788294542988E-4</v>
      </c>
    </row>
    <row r="26" spans="1:16" s="171" customFormat="1" ht="19.5" customHeight="1" x14ac:dyDescent="0.45">
      <c r="A26" s="49" t="s">
        <v>24</v>
      </c>
      <c r="B26" s="152" t="s">
        <v>23</v>
      </c>
      <c r="C26" s="196">
        <f>C24+C25</f>
        <v>3231.4</v>
      </c>
      <c r="D26" s="196">
        <f t="shared" ref="D26:N26" si="3">D24+D25</f>
        <v>21496.969999999998</v>
      </c>
      <c r="E26" s="196">
        <f t="shared" si="3"/>
        <v>6564.08</v>
      </c>
      <c r="F26" s="196">
        <f t="shared" si="3"/>
        <v>6084.39</v>
      </c>
      <c r="G26" s="196">
        <f t="shared" si="3"/>
        <v>6410.32</v>
      </c>
      <c r="H26" s="196">
        <f t="shared" si="3"/>
        <v>6184.93</v>
      </c>
      <c r="I26" s="196">
        <f t="shared" si="3"/>
        <v>9090.7899999999991</v>
      </c>
      <c r="J26" s="196">
        <f t="shared" si="3"/>
        <v>17641.29</v>
      </c>
      <c r="K26" s="196">
        <f t="shared" si="3"/>
        <v>18406.68</v>
      </c>
      <c r="L26" s="196">
        <f t="shared" si="3"/>
        <v>19904.219999999998</v>
      </c>
      <c r="M26" s="196">
        <f t="shared" si="3"/>
        <v>29419.78</v>
      </c>
      <c r="N26" s="196">
        <f t="shared" si="3"/>
        <v>8640.92</v>
      </c>
      <c r="O26" s="317">
        <f t="shared" si="1"/>
        <v>153075.77000000002</v>
      </c>
      <c r="P26" s="324">
        <f t="shared" si="0"/>
        <v>2.8390088188425949E-2</v>
      </c>
    </row>
    <row r="27" spans="1:16" s="207" customFormat="1" ht="19.5" customHeight="1" x14ac:dyDescent="0.45">
      <c r="A27" s="203" t="s">
        <v>26</v>
      </c>
      <c r="B27" s="204" t="s">
        <v>25</v>
      </c>
      <c r="C27" s="205">
        <f>C23+C26</f>
        <v>425685.14549999998</v>
      </c>
      <c r="D27" s="205">
        <f t="shared" ref="D27:N27" si="4">D23+D26</f>
        <v>595725.6</v>
      </c>
      <c r="E27" s="205">
        <f t="shared" si="4"/>
        <v>324728.18000000005</v>
      </c>
      <c r="F27" s="205">
        <f t="shared" si="4"/>
        <v>509320.47999999992</v>
      </c>
      <c r="G27" s="205">
        <f t="shared" si="4"/>
        <v>365029.38</v>
      </c>
      <c r="H27" s="205">
        <f t="shared" si="4"/>
        <v>488505.60999999993</v>
      </c>
      <c r="I27" s="205">
        <f t="shared" si="4"/>
        <v>401221.99999999994</v>
      </c>
      <c r="J27" s="205">
        <f t="shared" si="4"/>
        <v>487365.77999999997</v>
      </c>
      <c r="K27" s="205">
        <f t="shared" si="4"/>
        <v>422559.95</v>
      </c>
      <c r="L27" s="205">
        <f t="shared" si="4"/>
        <v>542502.32999999996</v>
      </c>
      <c r="M27" s="205">
        <f t="shared" si="4"/>
        <v>499851.47000000009</v>
      </c>
      <c r="N27" s="205">
        <f t="shared" si="4"/>
        <v>482453.54999999993</v>
      </c>
      <c r="O27" s="205">
        <f t="shared" si="1"/>
        <v>5544949.4754999988</v>
      </c>
      <c r="P27" s="325">
        <f t="shared" si="0"/>
        <v>1.0283900881884256</v>
      </c>
    </row>
    <row r="28" spans="1:16" ht="12.75" customHeight="1" x14ac:dyDescent="0.45"/>
    <row r="29" spans="1:16" ht="12.75" customHeight="1" x14ac:dyDescent="0.45"/>
    <row r="30" spans="1:16" ht="19.5" customHeight="1" x14ac:dyDescent="0.45">
      <c r="G30" s="109"/>
      <c r="H30" s="110" t="s">
        <v>49</v>
      </c>
      <c r="I30" s="109"/>
      <c r="J30" s="109"/>
      <c r="K30" s="109"/>
      <c r="L30" s="111"/>
      <c r="M30" s="109" t="s">
        <v>50</v>
      </c>
      <c r="N30" s="112"/>
    </row>
    <row r="31" spans="1:16" ht="19.5" customHeight="1" x14ac:dyDescent="0.45">
      <c r="G31" s="109"/>
      <c r="H31" s="109" t="s">
        <v>51</v>
      </c>
      <c r="I31" s="109"/>
      <c r="J31" s="109"/>
      <c r="K31" s="109"/>
      <c r="L31" s="111"/>
      <c r="M31" s="109" t="s">
        <v>52</v>
      </c>
      <c r="N31" s="112"/>
    </row>
    <row r="32" spans="1:16" ht="19.5" customHeight="1" x14ac:dyDescent="0.45">
      <c r="G32" s="109"/>
      <c r="H32" s="111" t="s">
        <v>53</v>
      </c>
      <c r="I32" s="111"/>
      <c r="J32" s="111"/>
      <c r="K32" s="109"/>
      <c r="L32" s="111"/>
      <c r="M32" s="109" t="s">
        <v>54</v>
      </c>
      <c r="N32" s="112"/>
    </row>
    <row r="33" spans="7:14" ht="19.5" customHeight="1" x14ac:dyDescent="0.45">
      <c r="G33" s="111"/>
      <c r="H33" s="111"/>
      <c r="I33" s="111"/>
      <c r="J33" s="111"/>
      <c r="K33" s="109"/>
      <c r="L33" s="111"/>
      <c r="M33" s="111"/>
      <c r="N33" s="113"/>
    </row>
  </sheetData>
  <printOptions horizontalCentered="1"/>
  <pageMargins left="0" right="0" top="0.55118110236220474" bottom="0.35433070866141736" header="0.11811023622047245" footer="0.11811023622047245"/>
  <pageSetup paperSize="9" scale="8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33"/>
  <sheetViews>
    <sheetView showGridLines="0" topLeftCell="A4" workbookViewId="0">
      <selection activeCell="B2" sqref="B2"/>
    </sheetView>
  </sheetViews>
  <sheetFormatPr defaultRowHeight="18" customHeight="1" x14ac:dyDescent="0.2"/>
  <cols>
    <col min="1" max="1" width="4.875" style="27" customWidth="1"/>
    <col min="2" max="2" width="14.875" style="27" customWidth="1"/>
    <col min="3" max="3" width="8.5" style="125" customWidth="1"/>
    <col min="4" max="14" width="8.5" style="27" customWidth="1"/>
    <col min="15" max="15" width="10.125" style="284" customWidth="1"/>
    <col min="16" max="16" width="12.625" style="329" customWidth="1"/>
    <col min="17" max="16384" width="9" style="27"/>
  </cols>
  <sheetData>
    <row r="1" spans="1:17" s="68" customFormat="1" ht="20.25" customHeight="1" x14ac:dyDescent="0.2">
      <c r="A1" s="80"/>
      <c r="C1" s="148"/>
      <c r="D1" s="81" t="s">
        <v>42</v>
      </c>
      <c r="E1" s="82"/>
      <c r="F1" s="82"/>
      <c r="G1" s="82"/>
      <c r="H1" s="82"/>
      <c r="K1" s="81" t="str">
        <f>สรุปยอด!C3</f>
        <v xml:space="preserve"> ปีงบประมาณ   2561</v>
      </c>
      <c r="L1" s="82"/>
      <c r="M1" s="82"/>
      <c r="N1" s="82"/>
      <c r="O1" s="148"/>
      <c r="P1" s="328"/>
      <c r="Q1" s="83"/>
    </row>
    <row r="2" spans="1:17" s="68" customFormat="1" ht="20.25" customHeight="1" x14ac:dyDescent="0.2">
      <c r="A2" s="80"/>
      <c r="C2" s="149" t="str">
        <f>'[1]1.1.ยา(ทั่วไป)'!C2</f>
        <v>จาก ฝ่ายเภสัชกรรมชุมชน  โรงพยาบาลกุมภวาปี</v>
      </c>
      <c r="D2" s="82"/>
      <c r="F2" s="82"/>
      <c r="G2" s="82"/>
      <c r="I2" s="82"/>
      <c r="J2" s="82"/>
      <c r="K2" s="82"/>
      <c r="M2" s="84"/>
      <c r="N2" s="85" t="str">
        <f>สรุปยอด!D4</f>
        <v xml:space="preserve">รายงานข้อมูลณ วันที่ 28/9/61 </v>
      </c>
      <c r="O2" s="148"/>
      <c r="P2" s="328"/>
      <c r="Q2" s="83"/>
    </row>
    <row r="3" spans="1:17" ht="4.5" customHeight="1" x14ac:dyDescent="0.2"/>
    <row r="4" spans="1:17" s="55" customFormat="1" ht="28.5" customHeight="1" x14ac:dyDescent="0.2">
      <c r="A4" s="200" t="s">
        <v>0</v>
      </c>
      <c r="B4" s="169" t="s">
        <v>1</v>
      </c>
      <c r="C4" s="199" t="s">
        <v>27</v>
      </c>
      <c r="D4" s="169" t="s">
        <v>28</v>
      </c>
      <c r="E4" s="169" t="s">
        <v>29</v>
      </c>
      <c r="F4" s="169" t="s">
        <v>30</v>
      </c>
      <c r="G4" s="169" t="s">
        <v>31</v>
      </c>
      <c r="H4" s="169" t="s">
        <v>32</v>
      </c>
      <c r="I4" s="169" t="s">
        <v>33</v>
      </c>
      <c r="J4" s="169" t="s">
        <v>34</v>
      </c>
      <c r="K4" s="169" t="s">
        <v>35</v>
      </c>
      <c r="L4" s="169" t="s">
        <v>36</v>
      </c>
      <c r="M4" s="169" t="s">
        <v>37</v>
      </c>
      <c r="N4" s="169" t="s">
        <v>38</v>
      </c>
      <c r="O4" s="199" t="s">
        <v>39</v>
      </c>
      <c r="P4" s="327" t="s">
        <v>40</v>
      </c>
    </row>
    <row r="5" spans="1:17" ht="18" customHeight="1" x14ac:dyDescent="0.2">
      <c r="A5" s="25">
        <v>1</v>
      </c>
      <c r="B5" s="26" t="s">
        <v>18</v>
      </c>
      <c r="C5" s="201">
        <f>'1.1รวมยาทั้งหมด(1+2+3+4)'!C5+'5.vaccine'!C5</f>
        <v>147987.82999999999</v>
      </c>
      <c r="D5" s="202">
        <f>'1.1รวมยาทั้งหมด(1+2+3+4)'!D5+'5.vaccine'!D5</f>
        <v>112537.77</v>
      </c>
      <c r="E5" s="202">
        <f>'1.1รวมยาทั้งหมด(1+2+3+4)'!E5+'5.vaccine'!E5</f>
        <v>66567.349999999991</v>
      </c>
      <c r="F5" s="202">
        <f>'1.1รวมยาทั้งหมด(1+2+3+4)'!F5+'5.vaccine'!F5</f>
        <v>93464.29</v>
      </c>
      <c r="G5" s="202">
        <f>'1.1รวมยาทั้งหมด(1+2+3+4)'!G5+'5.vaccine'!G5</f>
        <v>60733.680000000008</v>
      </c>
      <c r="H5" s="202">
        <f>'1.1รวมยาทั้งหมด(1+2+3+4)'!H5+'5.vaccine'!H5</f>
        <v>85826.66</v>
      </c>
      <c r="I5" s="202">
        <f>'1.1รวมยาทั้งหมด(1+2+3+4)'!I5+'5.vaccine'!I5</f>
        <v>11260.19</v>
      </c>
      <c r="J5" s="202">
        <f>'1.1รวมยาทั้งหมด(1+2+3+4)'!J5+'5.vaccine'!J5</f>
        <v>133679.85</v>
      </c>
      <c r="K5" s="202">
        <f>'1.1รวมยาทั้งหมด(1+2+3+4)'!K5+'5.vaccine'!K5</f>
        <v>93051.41</v>
      </c>
      <c r="L5" s="202">
        <f>'1.1รวมยาทั้งหมด(1+2+3+4)'!L5+'5.vaccine'!L5</f>
        <v>96485.6</v>
      </c>
      <c r="M5" s="202">
        <f>'1.1รวมยาทั้งหมด(1+2+3+4)'!M5+'5.vaccine'!M5</f>
        <v>67765.540000000008</v>
      </c>
      <c r="N5" s="202">
        <f>'1.1รวมยาทั้งหมด(1+2+3+4)'!N5+'5.vaccine'!N5</f>
        <v>91151.53</v>
      </c>
      <c r="O5" s="215">
        <f>SUM(C5:N5)</f>
        <v>1060511.7</v>
      </c>
      <c r="P5" s="330">
        <f t="shared" ref="P5:P27" si="0">O5/$O$23</f>
        <v>0.15553928904685105</v>
      </c>
    </row>
    <row r="6" spans="1:17" ht="18" customHeight="1" x14ac:dyDescent="0.2">
      <c r="A6" s="25">
        <v>2</v>
      </c>
      <c r="B6" s="28" t="s">
        <v>19</v>
      </c>
      <c r="C6" s="201">
        <f>'1.1รวมยาทั้งหมด(1+2+3+4)'!C6+'5.vaccine'!C6</f>
        <v>63612.900000000009</v>
      </c>
      <c r="D6" s="202">
        <f>'1.1รวมยาทั้งหมด(1+2+3+4)'!D6+'5.vaccine'!D6</f>
        <v>51830.03</v>
      </c>
      <c r="E6" s="202">
        <f>'1.1รวมยาทั้งหมด(1+2+3+4)'!E6+'5.vaccine'!E6</f>
        <v>40542.649999999994</v>
      </c>
      <c r="F6" s="202">
        <f>'1.1รวมยาทั้งหมด(1+2+3+4)'!F6+'5.vaccine'!F6</f>
        <v>57113.78</v>
      </c>
      <c r="G6" s="202">
        <f>'1.1รวมยาทั้งหมด(1+2+3+4)'!G6+'5.vaccine'!G6</f>
        <v>58332.91</v>
      </c>
      <c r="H6" s="202">
        <f>'1.1รวมยาทั้งหมด(1+2+3+4)'!H6+'5.vaccine'!H6</f>
        <v>54994.64</v>
      </c>
      <c r="I6" s="202">
        <f>'1.1รวมยาทั้งหมด(1+2+3+4)'!I6+'5.vaccine'!I6</f>
        <v>48539.519999999997</v>
      </c>
      <c r="J6" s="202">
        <f>'1.1รวมยาทั้งหมด(1+2+3+4)'!J6+'5.vaccine'!J6</f>
        <v>28300.86</v>
      </c>
      <c r="K6" s="202">
        <f>'1.1รวมยาทั้งหมด(1+2+3+4)'!K6+'5.vaccine'!K6</f>
        <v>51989.73</v>
      </c>
      <c r="L6" s="202">
        <f>'1.1รวมยาทั้งหมด(1+2+3+4)'!L6+'5.vaccine'!L6</f>
        <v>75004.14</v>
      </c>
      <c r="M6" s="202">
        <f>'1.1รวมยาทั้งหมด(1+2+3+4)'!M6+'5.vaccine'!M6</f>
        <v>61054.299999999996</v>
      </c>
      <c r="N6" s="202">
        <f>'1.1รวมยาทั้งหมด(1+2+3+4)'!N6+'5.vaccine'!N6</f>
        <v>71143.33</v>
      </c>
      <c r="O6" s="215">
        <f t="shared" ref="O6:O27" si="1">SUM(C6:N6)</f>
        <v>662458.79</v>
      </c>
      <c r="P6" s="330">
        <f t="shared" si="0"/>
        <v>9.7159106513805743E-2</v>
      </c>
    </row>
    <row r="7" spans="1:17" ht="18" customHeight="1" x14ac:dyDescent="0.2">
      <c r="A7" s="25">
        <v>3</v>
      </c>
      <c r="B7" s="28" t="s">
        <v>20</v>
      </c>
      <c r="C7" s="201">
        <f>'1.1รวมยาทั้งหมด(1+2+3+4)'!C7+'5.vaccine'!C7</f>
        <v>10408.869999999999</v>
      </c>
      <c r="D7" s="202">
        <f>'1.1รวมยาทั้งหมด(1+2+3+4)'!D7+'5.vaccine'!D7</f>
        <v>30580.75</v>
      </c>
      <c r="E7" s="202">
        <f>'1.1รวมยาทั้งหมด(1+2+3+4)'!E7+'5.vaccine'!E7</f>
        <v>20827.669999999998</v>
      </c>
      <c r="F7" s="202">
        <f>'1.1รวมยาทั้งหมด(1+2+3+4)'!F7+'5.vaccine'!F7</f>
        <v>26630.600000000002</v>
      </c>
      <c r="G7" s="202">
        <f>'1.1รวมยาทั้งหมด(1+2+3+4)'!G7+'5.vaccine'!G7</f>
        <v>26687.74</v>
      </c>
      <c r="H7" s="202">
        <f>'1.1รวมยาทั้งหมด(1+2+3+4)'!H7+'5.vaccine'!H7</f>
        <v>39089.43</v>
      </c>
      <c r="I7" s="202">
        <f>'1.1รวมยาทั้งหมด(1+2+3+4)'!I7+'5.vaccine'!I7</f>
        <v>17569.309999999998</v>
      </c>
      <c r="J7" s="202">
        <f>'1.1รวมยาทั้งหมด(1+2+3+4)'!J7+'5.vaccine'!J7</f>
        <v>14998.3</v>
      </c>
      <c r="K7" s="202">
        <f>'1.1รวมยาทั้งหมด(1+2+3+4)'!K7+'5.vaccine'!K7</f>
        <v>18742.97</v>
      </c>
      <c r="L7" s="202">
        <f>'1.1รวมยาทั้งหมด(1+2+3+4)'!L7+'5.vaccine'!L7</f>
        <v>17361.210000000003</v>
      </c>
      <c r="M7" s="202">
        <f>'1.1รวมยาทั้งหมด(1+2+3+4)'!M7+'5.vaccine'!M7</f>
        <v>18590.64</v>
      </c>
      <c r="N7" s="202">
        <f>'1.1รวมยาทั้งหมด(1+2+3+4)'!N7+'5.vaccine'!N7</f>
        <v>54938.05</v>
      </c>
      <c r="O7" s="215">
        <f t="shared" si="1"/>
        <v>296425.53999999998</v>
      </c>
      <c r="P7" s="330">
        <f t="shared" si="0"/>
        <v>4.3475067504610186E-2</v>
      </c>
    </row>
    <row r="8" spans="1:17" ht="18" customHeight="1" x14ac:dyDescent="0.2">
      <c r="A8" s="25">
        <v>4</v>
      </c>
      <c r="B8" s="28" t="s">
        <v>21</v>
      </c>
      <c r="C8" s="201">
        <f>'1.1รวมยาทั้งหมด(1+2+3+4)'!C8+'5.vaccine'!C8</f>
        <v>45961.42</v>
      </c>
      <c r="D8" s="202">
        <f>'1.1รวมยาทั้งหมด(1+2+3+4)'!D8+'5.vaccine'!D8</f>
        <v>131699.81</v>
      </c>
      <c r="E8" s="202">
        <f>'1.1รวมยาทั้งหมด(1+2+3+4)'!E8+'5.vaccine'!E8</f>
        <v>38350.660000000003</v>
      </c>
      <c r="F8" s="202">
        <f>'1.1รวมยาทั้งหมด(1+2+3+4)'!F8+'5.vaccine'!F8</f>
        <v>79703.03</v>
      </c>
      <c r="G8" s="202">
        <f>'1.1รวมยาทั้งหมด(1+2+3+4)'!G8+'5.vaccine'!G8</f>
        <v>60086.21</v>
      </c>
      <c r="H8" s="202">
        <f>'1.1รวมยาทั้งหมด(1+2+3+4)'!H8+'5.vaccine'!H8</f>
        <v>85161.19</v>
      </c>
      <c r="I8" s="202">
        <f>'1.1รวมยาทั้งหมด(1+2+3+4)'!I8+'5.vaccine'!I8</f>
        <v>61567.14</v>
      </c>
      <c r="J8" s="202">
        <f>'1.1รวมยาทั้งหมด(1+2+3+4)'!J8+'5.vaccine'!J8</f>
        <v>51480.37</v>
      </c>
      <c r="K8" s="202">
        <f>'1.1รวมยาทั้งหมด(1+2+3+4)'!K8+'5.vaccine'!K8</f>
        <v>132749.67000000001</v>
      </c>
      <c r="L8" s="202">
        <f>'1.1รวมยาทั้งหมด(1+2+3+4)'!L8+'5.vaccine'!L8</f>
        <v>52928.36</v>
      </c>
      <c r="M8" s="202">
        <f>'1.1รวมยาทั้งหมด(1+2+3+4)'!M8+'5.vaccine'!M8</f>
        <v>71172.350000000006</v>
      </c>
      <c r="N8" s="202">
        <f>'1.1รวมยาทั้งหมด(1+2+3+4)'!N8+'5.vaccine'!N8</f>
        <v>41801.94</v>
      </c>
      <c r="O8" s="215">
        <f t="shared" si="1"/>
        <v>852662.15000000014</v>
      </c>
      <c r="P8" s="330">
        <f t="shared" si="0"/>
        <v>0.12505516403841607</v>
      </c>
    </row>
    <row r="9" spans="1:17" ht="18" customHeight="1" x14ac:dyDescent="0.2">
      <c r="A9" s="25">
        <v>5</v>
      </c>
      <c r="B9" s="28" t="s">
        <v>2</v>
      </c>
      <c r="C9" s="201">
        <f>'1.1รวมยาทั้งหมด(1+2+3+4)'!C9+'5.vaccine'!C9</f>
        <v>19116.75</v>
      </c>
      <c r="D9" s="202">
        <f>'1.1รวมยาทั้งหมด(1+2+3+4)'!D9+'5.vaccine'!D9</f>
        <v>25185.57</v>
      </c>
      <c r="E9" s="202">
        <f>'1.1รวมยาทั้งหมด(1+2+3+4)'!E9+'5.vaccine'!E9</f>
        <v>13386.810000000001</v>
      </c>
      <c r="F9" s="202">
        <f>'1.1รวมยาทั้งหมด(1+2+3+4)'!F9+'5.vaccine'!F9</f>
        <v>35520.43</v>
      </c>
      <c r="G9" s="202">
        <f>'1.1รวมยาทั้งหมด(1+2+3+4)'!G9+'5.vaccine'!G9</f>
        <v>13415.89</v>
      </c>
      <c r="H9" s="202">
        <f>'1.1รวมยาทั้งหมด(1+2+3+4)'!H9+'5.vaccine'!H9</f>
        <v>25723.81</v>
      </c>
      <c r="I9" s="202">
        <f>'1.1รวมยาทั้งหมด(1+2+3+4)'!I9+'5.vaccine'!I9</f>
        <v>20313.450000000004</v>
      </c>
      <c r="J9" s="202">
        <f>'1.1รวมยาทั้งหมด(1+2+3+4)'!J9+'5.vaccine'!J9</f>
        <v>31494.83</v>
      </c>
      <c r="K9" s="202">
        <f>'1.1รวมยาทั้งหมด(1+2+3+4)'!K9+'5.vaccine'!K9</f>
        <v>27010.07</v>
      </c>
      <c r="L9" s="202">
        <f>'1.1รวมยาทั้งหมด(1+2+3+4)'!L9+'5.vaccine'!L9</f>
        <v>33616.370000000003</v>
      </c>
      <c r="M9" s="202">
        <f>'1.1รวมยาทั้งหมด(1+2+3+4)'!M9+'5.vaccine'!M9</f>
        <v>42746.18</v>
      </c>
      <c r="N9" s="202">
        <f>'1.1รวมยาทั้งหมด(1+2+3+4)'!N9+'5.vaccine'!N9</f>
        <v>36369.53</v>
      </c>
      <c r="O9" s="215">
        <f t="shared" si="1"/>
        <v>323899.69000000006</v>
      </c>
      <c r="P9" s="330">
        <f t="shared" si="0"/>
        <v>4.7504546630740101E-2</v>
      </c>
    </row>
    <row r="10" spans="1:17" ht="18" customHeight="1" x14ac:dyDescent="0.2">
      <c r="A10" s="25">
        <v>6</v>
      </c>
      <c r="B10" s="28" t="s">
        <v>3</v>
      </c>
      <c r="C10" s="201">
        <f>'1.1รวมยาทั้งหมด(1+2+3+4)'!C10+'5.vaccine'!C10</f>
        <v>7185.38</v>
      </c>
      <c r="D10" s="202">
        <f>'1.1รวมยาทั้งหมด(1+2+3+4)'!D10+'5.vaccine'!D10</f>
        <v>22404.11</v>
      </c>
      <c r="E10" s="202">
        <f>'1.1รวมยาทั้งหมด(1+2+3+4)'!E10+'5.vaccine'!E10</f>
        <v>16396.75</v>
      </c>
      <c r="F10" s="202">
        <f>'1.1รวมยาทั้งหมด(1+2+3+4)'!F10+'5.vaccine'!F10</f>
        <v>20771.16</v>
      </c>
      <c r="G10" s="202">
        <f>'1.1รวมยาทั้งหมด(1+2+3+4)'!G10+'5.vaccine'!G10</f>
        <v>37058.36</v>
      </c>
      <c r="H10" s="202">
        <f>'1.1รวมยาทั้งหมด(1+2+3+4)'!H10+'5.vaccine'!H10</f>
        <v>14195.490000000002</v>
      </c>
      <c r="I10" s="202">
        <f>'1.1รวมยาทั้งหมด(1+2+3+4)'!I10+'5.vaccine'!I10</f>
        <v>17064.719999999998</v>
      </c>
      <c r="J10" s="202">
        <f>'1.1รวมยาทั้งหมด(1+2+3+4)'!J10+'5.vaccine'!J10</f>
        <v>19100.73</v>
      </c>
      <c r="K10" s="202">
        <f>'1.1รวมยาทั้งหมด(1+2+3+4)'!K10+'5.vaccine'!K10</f>
        <v>15575.58</v>
      </c>
      <c r="L10" s="202">
        <f>'1.1รวมยาทั้งหมด(1+2+3+4)'!L10+'5.vaccine'!L10</f>
        <v>21880.32</v>
      </c>
      <c r="M10" s="202">
        <f>'1.1รวมยาทั้งหมด(1+2+3+4)'!M10+'5.vaccine'!M10</f>
        <v>33944.57</v>
      </c>
      <c r="N10" s="202">
        <f>'1.1รวมยาทั้งหมด(1+2+3+4)'!N10+'5.vaccine'!N10</f>
        <v>5784.97</v>
      </c>
      <c r="O10" s="215">
        <f t="shared" si="1"/>
        <v>231362.14</v>
      </c>
      <c r="P10" s="330">
        <f t="shared" si="0"/>
        <v>3.3932584400490837E-2</v>
      </c>
    </row>
    <row r="11" spans="1:17" ht="18" customHeight="1" x14ac:dyDescent="0.2">
      <c r="A11" s="25">
        <v>7</v>
      </c>
      <c r="B11" s="28" t="s">
        <v>4</v>
      </c>
      <c r="C11" s="201">
        <f>'1.1รวมยาทั้งหมด(1+2+3+4)'!C11+'5.vaccine'!C11</f>
        <v>23406.059999999998</v>
      </c>
      <c r="D11" s="202">
        <f>'1.1รวมยาทั้งหมด(1+2+3+4)'!D11+'5.vaccine'!D11</f>
        <v>12253.689999999999</v>
      </c>
      <c r="E11" s="202">
        <f>'1.1รวมยาทั้งหมด(1+2+3+4)'!E11+'5.vaccine'!E11</f>
        <v>20836.660000000003</v>
      </c>
      <c r="F11" s="202">
        <f>'1.1รวมยาทั้งหมด(1+2+3+4)'!F11+'5.vaccine'!F11</f>
        <v>39142.200000000004</v>
      </c>
      <c r="G11" s="202">
        <f>'1.1รวมยาทั้งหมด(1+2+3+4)'!G11+'5.vaccine'!G11</f>
        <v>31215.84</v>
      </c>
      <c r="H11" s="202">
        <f>'1.1รวมยาทั้งหมด(1+2+3+4)'!H11+'5.vaccine'!H11</f>
        <v>29869.67</v>
      </c>
      <c r="I11" s="202">
        <f>'1.1รวมยาทั้งหมด(1+2+3+4)'!I11+'5.vaccine'!I11</f>
        <v>33621.03</v>
      </c>
      <c r="J11" s="202">
        <f>'1.1รวมยาทั้งหมด(1+2+3+4)'!J11+'5.vaccine'!J11</f>
        <v>28450.91</v>
      </c>
      <c r="K11" s="202">
        <f>'1.1รวมยาทั้งหมด(1+2+3+4)'!K11+'5.vaccine'!K11</f>
        <v>21359.67</v>
      </c>
      <c r="L11" s="202">
        <f>'1.1รวมยาทั้งหมด(1+2+3+4)'!L11+'5.vaccine'!L11</f>
        <v>39835.65</v>
      </c>
      <c r="M11" s="202">
        <f>'1.1รวมยาทั้งหมด(1+2+3+4)'!M11+'5.vaccine'!M11</f>
        <v>9614.5300000000007</v>
      </c>
      <c r="N11" s="202">
        <f>'1.1รวมยาทั้งหมด(1+2+3+4)'!N11+'5.vaccine'!N11</f>
        <v>89868.23</v>
      </c>
      <c r="O11" s="215">
        <f t="shared" si="1"/>
        <v>379474.14</v>
      </c>
      <c r="P11" s="330">
        <f t="shared" si="0"/>
        <v>5.5655338783405429E-2</v>
      </c>
    </row>
    <row r="12" spans="1:17" ht="18" customHeight="1" x14ac:dyDescent="0.2">
      <c r="A12" s="25">
        <v>8</v>
      </c>
      <c r="B12" s="28" t="s">
        <v>5</v>
      </c>
      <c r="C12" s="201">
        <f>'1.1รวมยาทั้งหมด(1+2+3+4)'!C12+'5.vaccine'!C12</f>
        <v>44207.64</v>
      </c>
      <c r="D12" s="202">
        <f>'1.1รวมยาทั้งหมด(1+2+3+4)'!D12+'5.vaccine'!D12</f>
        <v>39355.660000000003</v>
      </c>
      <c r="E12" s="202">
        <f>'1.1รวมยาทั้งหมด(1+2+3+4)'!E12+'5.vaccine'!E12</f>
        <v>20196.629999999997</v>
      </c>
      <c r="F12" s="202">
        <f>'1.1รวมยาทั้งหมด(1+2+3+4)'!F12+'5.vaccine'!F12</f>
        <v>51628.979999999996</v>
      </c>
      <c r="G12" s="202">
        <f>'1.1รวมยาทั้งหมด(1+2+3+4)'!G12+'5.vaccine'!G12</f>
        <v>38761.01</v>
      </c>
      <c r="H12" s="202">
        <f>'1.1รวมยาทั้งหมด(1+2+3+4)'!H12+'5.vaccine'!H12</f>
        <v>36392.35</v>
      </c>
      <c r="I12" s="202">
        <f>'1.1รวมยาทั้งหมด(1+2+3+4)'!I12+'5.vaccine'!I12</f>
        <v>54122.850000000006</v>
      </c>
      <c r="J12" s="202">
        <f>'1.1รวมยาทั้งหมด(1+2+3+4)'!J12+'5.vaccine'!J12</f>
        <v>47800.009999999995</v>
      </c>
      <c r="K12" s="202">
        <f>'1.1รวมยาทั้งหมด(1+2+3+4)'!K12+'5.vaccine'!K12</f>
        <v>48632.24</v>
      </c>
      <c r="L12" s="202">
        <f>'1.1รวมยาทั้งหมด(1+2+3+4)'!L12+'5.vaccine'!L12</f>
        <v>77571.88</v>
      </c>
      <c r="M12" s="202">
        <f>'1.1รวมยาทั้งหมด(1+2+3+4)'!M12+'5.vaccine'!M12</f>
        <v>9531.380000000001</v>
      </c>
      <c r="N12" s="202">
        <f>'1.1รวมยาทั้งหมด(1+2+3+4)'!N12+'5.vaccine'!N12</f>
        <v>78449.570000000007</v>
      </c>
      <c r="O12" s="215">
        <f t="shared" si="1"/>
        <v>546650.19999999995</v>
      </c>
      <c r="P12" s="330">
        <f t="shared" si="0"/>
        <v>8.0174111672053142E-2</v>
      </c>
    </row>
    <row r="13" spans="1:17" ht="18" customHeight="1" x14ac:dyDescent="0.2">
      <c r="A13" s="25">
        <v>9</v>
      </c>
      <c r="B13" s="28" t="s">
        <v>6</v>
      </c>
      <c r="C13" s="201">
        <f>'1.1รวมยาทั้งหมด(1+2+3+4)'!C13+'5.vaccine'!C13</f>
        <v>21371.260000000002</v>
      </c>
      <c r="D13" s="202">
        <f>'1.1รวมยาทั้งหมด(1+2+3+4)'!D13+'5.vaccine'!D13</f>
        <v>32451.850000000002</v>
      </c>
      <c r="E13" s="202">
        <f>'1.1รวมยาทั้งหมด(1+2+3+4)'!E13+'5.vaccine'!E13</f>
        <v>19997.5</v>
      </c>
      <c r="F13" s="202">
        <f>'1.1รวมยาทั้งหมด(1+2+3+4)'!F13+'5.vaccine'!F13</f>
        <v>20659.32</v>
      </c>
      <c r="G13" s="202">
        <f>'1.1รวมยาทั้งหมด(1+2+3+4)'!G13+'5.vaccine'!G13</f>
        <v>6206.41</v>
      </c>
      <c r="H13" s="202">
        <f>'1.1รวมยาทั้งหมด(1+2+3+4)'!H13+'5.vaccine'!H13</f>
        <v>11136.33</v>
      </c>
      <c r="I13" s="202">
        <f>'1.1รวมยาทั้งหมด(1+2+3+4)'!I13+'5.vaccine'!I13</f>
        <v>45728.170000000006</v>
      </c>
      <c r="J13" s="202">
        <f>'1.1รวมยาทั้งหมด(1+2+3+4)'!J13+'5.vaccine'!J13</f>
        <v>38882.550000000003</v>
      </c>
      <c r="K13" s="202">
        <f>'1.1รวมยาทั้งหมด(1+2+3+4)'!K13+'5.vaccine'!K13</f>
        <v>11087.07</v>
      </c>
      <c r="L13" s="202">
        <f>'1.1รวมยาทั้งหมด(1+2+3+4)'!L13+'5.vaccine'!L13</f>
        <v>18926.89</v>
      </c>
      <c r="M13" s="202">
        <f>'1.1รวมยาทั้งหมด(1+2+3+4)'!M13+'5.vaccine'!M13</f>
        <v>14319.64</v>
      </c>
      <c r="N13" s="202">
        <f>'1.1รวมยาทั้งหมด(1+2+3+4)'!N13+'5.vaccine'!N13</f>
        <v>6807.45</v>
      </c>
      <c r="O13" s="215">
        <f t="shared" si="1"/>
        <v>247574.44000000006</v>
      </c>
      <c r="P13" s="330">
        <f t="shared" si="0"/>
        <v>3.6310351299068448E-2</v>
      </c>
    </row>
    <row r="14" spans="1:17" ht="18" customHeight="1" x14ac:dyDescent="0.2">
      <c r="A14" s="25">
        <v>10</v>
      </c>
      <c r="B14" s="28" t="s">
        <v>7</v>
      </c>
      <c r="C14" s="201">
        <f>'1.1รวมยาทั้งหมด(1+2+3+4)'!C14+'5.vaccine'!C14</f>
        <v>16070.78</v>
      </c>
      <c r="D14" s="202">
        <f>'1.1รวมยาทั้งหมด(1+2+3+4)'!D14+'5.vaccine'!D14</f>
        <v>12451.18</v>
      </c>
      <c r="E14" s="202">
        <f>'1.1รวมยาทั้งหมด(1+2+3+4)'!E14+'5.vaccine'!E14</f>
        <v>10353.06</v>
      </c>
      <c r="F14" s="202">
        <f>'1.1รวมยาทั้งหมด(1+2+3+4)'!F14+'5.vaccine'!F14</f>
        <v>24066.26</v>
      </c>
      <c r="G14" s="202">
        <f>'1.1รวมยาทั้งหมด(1+2+3+4)'!G14+'5.vaccine'!G14</f>
        <v>12589.59</v>
      </c>
      <c r="H14" s="202">
        <f>'1.1รวมยาทั้งหมด(1+2+3+4)'!H14+'5.vaccine'!H14</f>
        <v>25000.670000000002</v>
      </c>
      <c r="I14" s="202">
        <f>'1.1รวมยาทั้งหมด(1+2+3+4)'!I14+'5.vaccine'!I14</f>
        <v>3589.13</v>
      </c>
      <c r="J14" s="202">
        <f>'1.1รวมยาทั้งหมด(1+2+3+4)'!J14+'5.vaccine'!J14</f>
        <v>31155.82</v>
      </c>
      <c r="K14" s="202">
        <f>'1.1รวมยาทั้งหมด(1+2+3+4)'!K14+'5.vaccine'!K14</f>
        <v>8477.39</v>
      </c>
      <c r="L14" s="202">
        <f>'1.1รวมยาทั้งหมด(1+2+3+4)'!L14+'5.vaccine'!L14</f>
        <v>12219.02</v>
      </c>
      <c r="M14" s="202">
        <f>'1.1รวมยาทั้งหมด(1+2+3+4)'!M14+'5.vaccine'!M14</f>
        <v>15424.149999999998</v>
      </c>
      <c r="N14" s="202">
        <f>'1.1รวมยาทั้งหมด(1+2+3+4)'!N14+'5.vaccine'!N14</f>
        <v>11487.63</v>
      </c>
      <c r="O14" s="215">
        <f t="shared" si="1"/>
        <v>182884.68</v>
      </c>
      <c r="P14" s="330">
        <f t="shared" si="0"/>
        <v>2.6822667873217108E-2</v>
      </c>
    </row>
    <row r="15" spans="1:17" ht="18" customHeight="1" x14ac:dyDescent="0.2">
      <c r="A15" s="25">
        <v>11</v>
      </c>
      <c r="B15" s="28" t="s">
        <v>8</v>
      </c>
      <c r="C15" s="201">
        <f>'1.1รวมยาทั้งหมด(1+2+3+4)'!C15+'5.vaccine'!C15</f>
        <v>26044.8655</v>
      </c>
      <c r="D15" s="202">
        <f>'1.1รวมยาทั้งหมด(1+2+3+4)'!D15+'5.vaccine'!D15</f>
        <v>14529.23</v>
      </c>
      <c r="E15" s="202">
        <f>'1.1รวมยาทั้งหมด(1+2+3+4)'!E15+'5.vaccine'!E15</f>
        <v>13139.95</v>
      </c>
      <c r="F15" s="202">
        <f>'1.1รวมยาทั้งหมด(1+2+3+4)'!F15+'5.vaccine'!F15</f>
        <v>41876.620000000003</v>
      </c>
      <c r="G15" s="202">
        <f>'1.1รวมยาทั้งหมด(1+2+3+4)'!G15+'5.vaccine'!G15</f>
        <v>15972.53</v>
      </c>
      <c r="H15" s="202">
        <f>'1.1รวมยาทั้งหมด(1+2+3+4)'!H15+'5.vaccine'!H15</f>
        <v>24178.57</v>
      </c>
      <c r="I15" s="202">
        <f>'1.1รวมยาทั้งหมด(1+2+3+4)'!I15+'5.vaccine'!I15</f>
        <v>27915.609999999997</v>
      </c>
      <c r="J15" s="202">
        <f>'1.1รวมยาทั้งหมด(1+2+3+4)'!J15+'5.vaccine'!J15</f>
        <v>27047.68</v>
      </c>
      <c r="K15" s="202">
        <f>'1.1รวมยาทั้งหมด(1+2+3+4)'!K15+'5.vaccine'!K15</f>
        <v>22229.85</v>
      </c>
      <c r="L15" s="202">
        <f>'1.1รวมยาทั้งหมด(1+2+3+4)'!L15+'5.vaccine'!L15</f>
        <v>16217.37</v>
      </c>
      <c r="M15" s="202">
        <f>'1.1รวมยาทั้งหมด(1+2+3+4)'!M15+'5.vaccine'!M15</f>
        <v>34733.599999999999</v>
      </c>
      <c r="N15" s="202">
        <f>'1.1รวมยาทั้งหมด(1+2+3+4)'!N15+'5.vaccine'!N15</f>
        <v>21774.14</v>
      </c>
      <c r="O15" s="215">
        <f t="shared" si="1"/>
        <v>285660.01549999998</v>
      </c>
      <c r="P15" s="330">
        <f t="shared" si="0"/>
        <v>4.1896148547896687E-2</v>
      </c>
    </row>
    <row r="16" spans="1:17" ht="18" customHeight="1" x14ac:dyDescent="0.2">
      <c r="A16" s="25">
        <v>12</v>
      </c>
      <c r="B16" s="28" t="s">
        <v>9</v>
      </c>
      <c r="C16" s="201">
        <f>'1.1รวมยาทั้งหมด(1+2+3+4)'!C16+'5.vaccine'!C16</f>
        <v>19585.16</v>
      </c>
      <c r="D16" s="202">
        <f>'1.1รวมยาทั้งหมด(1+2+3+4)'!D16+'5.vaccine'!D16</f>
        <v>9959.2499999999982</v>
      </c>
      <c r="E16" s="202">
        <f>'1.1รวมยาทั้งหมด(1+2+3+4)'!E16+'5.vaccine'!E16</f>
        <v>15132.380000000001</v>
      </c>
      <c r="F16" s="202">
        <f>'1.1รวมยาทั้งหมด(1+2+3+4)'!F16+'5.vaccine'!F16</f>
        <v>21054.239999999998</v>
      </c>
      <c r="G16" s="202">
        <f>'1.1รวมยาทั้งหมด(1+2+3+4)'!G16+'5.vaccine'!G16</f>
        <v>23273.420000000002</v>
      </c>
      <c r="H16" s="202">
        <f>'1.1รวมยาทั้งหมด(1+2+3+4)'!H16+'5.vaccine'!H16</f>
        <v>14909.45</v>
      </c>
      <c r="I16" s="202">
        <f>'1.1รวมยาทั้งหมด(1+2+3+4)'!I16+'5.vaccine'!I16</f>
        <v>20024.669999999998</v>
      </c>
      <c r="J16" s="202">
        <f>'1.1รวมยาทั้งหมด(1+2+3+4)'!J16+'5.vaccine'!J16</f>
        <v>16524.349999999999</v>
      </c>
      <c r="K16" s="202">
        <f>'1.1รวมยาทั้งหมด(1+2+3+4)'!K16+'5.vaccine'!K16</f>
        <v>16574.849999999999</v>
      </c>
      <c r="L16" s="202">
        <f>'1.1รวมยาทั้งหมด(1+2+3+4)'!L16+'5.vaccine'!L16</f>
        <v>14837.18</v>
      </c>
      <c r="M16" s="202">
        <f>'1.1รวมยาทั้งหมด(1+2+3+4)'!M16+'5.vaccine'!M16</f>
        <v>16358.11</v>
      </c>
      <c r="N16" s="202">
        <f>'1.1รวมยาทั้งหมด(1+2+3+4)'!N16+'5.vaccine'!N16</f>
        <v>18491.91</v>
      </c>
      <c r="O16" s="215">
        <f t="shared" si="1"/>
        <v>206724.97</v>
      </c>
      <c r="P16" s="330">
        <f t="shared" si="0"/>
        <v>3.0319189182006771E-2</v>
      </c>
    </row>
    <row r="17" spans="1:16" ht="18" customHeight="1" x14ac:dyDescent="0.2">
      <c r="A17" s="25">
        <v>13</v>
      </c>
      <c r="B17" s="28" t="s">
        <v>10</v>
      </c>
      <c r="C17" s="201">
        <f>'1.1รวมยาทั้งหมด(1+2+3+4)'!C17+'5.vaccine'!C17</f>
        <v>2407.37</v>
      </c>
      <c r="D17" s="202">
        <f>'1.1รวมยาทั้งหมด(1+2+3+4)'!D17+'5.vaccine'!D17</f>
        <v>25778.52</v>
      </c>
      <c r="E17" s="202">
        <f>'1.1รวมยาทั้งหมด(1+2+3+4)'!E17+'5.vaccine'!E17</f>
        <v>23000.66</v>
      </c>
      <c r="F17" s="202">
        <f>'1.1รวมยาทั้งหมด(1+2+3+4)'!F17+'5.vaccine'!F17</f>
        <v>25600.519999999997</v>
      </c>
      <c r="G17" s="202">
        <f>'1.1รวมยาทั้งหมด(1+2+3+4)'!G17+'5.vaccine'!G17</f>
        <v>39067.599999999999</v>
      </c>
      <c r="H17" s="202">
        <f>'1.1รวมยาทั้งหมด(1+2+3+4)'!H17+'5.vaccine'!H17</f>
        <v>12114.99</v>
      </c>
      <c r="I17" s="202">
        <f>'1.1รวมยาทั้งหมด(1+2+3+4)'!I17+'5.vaccine'!I17</f>
        <v>21285.4</v>
      </c>
      <c r="J17" s="202">
        <f>'1.1รวมยาทั้งหมด(1+2+3+4)'!J17+'5.vaccine'!J17</f>
        <v>20094.96</v>
      </c>
      <c r="K17" s="202">
        <f>'1.1รวมยาทั้งหมด(1+2+3+4)'!K17+'5.vaccine'!K17</f>
        <v>17107.54</v>
      </c>
      <c r="L17" s="202">
        <f>'1.1รวมยาทั้งหมด(1+2+3+4)'!L17+'5.vaccine'!L17</f>
        <v>17042.59</v>
      </c>
      <c r="M17" s="202">
        <f>'1.1รวมยาทั้งหมด(1+2+3+4)'!M17+'5.vaccine'!M17</f>
        <v>37097.75</v>
      </c>
      <c r="N17" s="202">
        <f>'1.1รวมยาทั้งหมด(1+2+3+4)'!N17+'5.vaccine'!N17</f>
        <v>20449.349999999999</v>
      </c>
      <c r="O17" s="215">
        <f t="shared" si="1"/>
        <v>261047.25000000003</v>
      </c>
      <c r="P17" s="330">
        <f t="shared" si="0"/>
        <v>3.828633260023024E-2</v>
      </c>
    </row>
    <row r="18" spans="1:16" ht="18" customHeight="1" x14ac:dyDescent="0.2">
      <c r="A18" s="25">
        <v>14</v>
      </c>
      <c r="B18" s="28" t="s">
        <v>11</v>
      </c>
      <c r="C18" s="201">
        <f>'1.1รวมยาทั้งหมด(1+2+3+4)'!C18+'5.vaccine'!C18</f>
        <v>6261.59</v>
      </c>
      <c r="D18" s="202">
        <f>'1.1รวมยาทั้งหมด(1+2+3+4)'!D18+'5.vaccine'!D18</f>
        <v>19148.46</v>
      </c>
      <c r="E18" s="202">
        <f>'1.1รวมยาทั้งหมด(1+2+3+4)'!E18+'5.vaccine'!E18</f>
        <v>13790.25</v>
      </c>
      <c r="F18" s="202">
        <f>'1.1รวมยาทั้งหมด(1+2+3+4)'!F18+'5.vaccine'!F18</f>
        <v>13765.15</v>
      </c>
      <c r="G18" s="202">
        <f>'1.1รวมยาทั้งหมด(1+2+3+4)'!G18+'5.vaccine'!G18</f>
        <v>11699.2</v>
      </c>
      <c r="H18" s="202">
        <f>'1.1รวมยาทั้งหมด(1+2+3+4)'!H18+'5.vaccine'!H18</f>
        <v>6753.01</v>
      </c>
      <c r="I18" s="202">
        <f>'1.1รวมยาทั้งหมด(1+2+3+4)'!I18+'5.vaccine'!I18</f>
        <v>18053.88</v>
      </c>
      <c r="J18" s="202">
        <f>'1.1รวมยาทั้งหมด(1+2+3+4)'!J18+'5.vaccine'!J18</f>
        <v>12057.300000000001</v>
      </c>
      <c r="K18" s="202">
        <f>'1.1รวมยาทั้งหมด(1+2+3+4)'!K18+'5.vaccine'!K18</f>
        <v>9660.9699999999993</v>
      </c>
      <c r="L18" s="202">
        <f>'1.1รวมยาทั้งหมด(1+2+3+4)'!L18+'5.vaccine'!L18</f>
        <v>9782.23</v>
      </c>
      <c r="M18" s="202">
        <f>'1.1รวมยาทั้งหมด(1+2+3+4)'!M18+'5.vaccine'!M18</f>
        <v>25371.379999999997</v>
      </c>
      <c r="N18" s="202">
        <f>'1.1รวมยาทั้งหมด(1+2+3+4)'!N18+'5.vaccine'!N18</f>
        <v>5187.5200000000004</v>
      </c>
      <c r="O18" s="215">
        <f t="shared" si="1"/>
        <v>151530.94</v>
      </c>
      <c r="P18" s="330">
        <f t="shared" si="0"/>
        <v>2.2224191092093604E-2</v>
      </c>
    </row>
    <row r="19" spans="1:16" ht="18" customHeight="1" x14ac:dyDescent="0.2">
      <c r="A19" s="25">
        <v>15</v>
      </c>
      <c r="B19" s="28" t="s">
        <v>12</v>
      </c>
      <c r="C19" s="201">
        <f>'1.1รวมยาทั้งหมด(1+2+3+4)'!C19+'5.vaccine'!C19</f>
        <v>23548.14</v>
      </c>
      <c r="D19" s="202">
        <f>'1.1รวมยาทั้งหมด(1+2+3+4)'!D19+'5.vaccine'!D19</f>
        <v>70360.570000000007</v>
      </c>
      <c r="E19" s="202">
        <f>'1.1รวมยาทั้งหมด(1+2+3+4)'!E19+'5.vaccine'!E19</f>
        <v>56597.500000000007</v>
      </c>
      <c r="F19" s="202">
        <f>'1.1รวมยาทั้งหมด(1+2+3+4)'!F19+'5.vaccine'!F19</f>
        <v>25177.93</v>
      </c>
      <c r="G19" s="202">
        <f>'1.1รวมยาทั้งหมด(1+2+3+4)'!G19+'5.vaccine'!G19</f>
        <v>37745.759999999995</v>
      </c>
      <c r="H19" s="202">
        <f>'1.1รวมยาทั้งหมด(1+2+3+4)'!H19+'5.vaccine'!H19</f>
        <v>51874.659999999996</v>
      </c>
      <c r="I19" s="202">
        <f>'1.1รวมยาทั้งหมด(1+2+3+4)'!I19+'5.vaccine'!I19</f>
        <v>46438.15</v>
      </c>
      <c r="J19" s="202">
        <f>'1.1รวมยาทั้งหมด(1+2+3+4)'!J19+'5.vaccine'!J19</f>
        <v>48042.979999999996</v>
      </c>
      <c r="K19" s="202">
        <f>'1.1รวมยาทั้งหมด(1+2+3+4)'!K19+'5.vaccine'!K19</f>
        <v>66741.33</v>
      </c>
      <c r="L19" s="202">
        <f>'1.1รวมยาทั้งหมด(1+2+3+4)'!L19+'5.vaccine'!L19</f>
        <v>53308.43</v>
      </c>
      <c r="M19" s="202">
        <f>'1.1รวมยาทั้งหมด(1+2+3+4)'!M19+'5.vaccine'!M19</f>
        <v>37076.980000000003</v>
      </c>
      <c r="N19" s="202">
        <f>'1.1รวมยาทั้งหมด(1+2+3+4)'!N19+'5.vaccine'!N19</f>
        <v>29182.52</v>
      </c>
      <c r="O19" s="215">
        <f t="shared" si="1"/>
        <v>546094.94999999995</v>
      </c>
      <c r="P19" s="330">
        <f t="shared" si="0"/>
        <v>8.0092676276061509E-2</v>
      </c>
    </row>
    <row r="20" spans="1:16" ht="18" customHeight="1" x14ac:dyDescent="0.2">
      <c r="A20" s="25">
        <v>16</v>
      </c>
      <c r="B20" s="29" t="s">
        <v>13</v>
      </c>
      <c r="C20" s="201">
        <f>'1.1รวมยาทั้งหมด(1+2+3+4)'!C20+'5.vaccine'!C20</f>
        <v>6368.64</v>
      </c>
      <c r="D20" s="202">
        <f>'1.1รวมยาทั้งหมด(1+2+3+4)'!D20+'5.vaccine'!D20</f>
        <v>10180.810000000001</v>
      </c>
      <c r="E20" s="202">
        <f>'1.1รวมยาทั้งหมด(1+2+3+4)'!E20+'5.vaccine'!E20</f>
        <v>1161.57</v>
      </c>
      <c r="F20" s="202">
        <f>'1.1รวมยาทั้งหมด(1+2+3+4)'!F20+'5.vaccine'!F20</f>
        <v>0</v>
      </c>
      <c r="G20" s="202">
        <f>'1.1รวมยาทั้งหมด(1+2+3+4)'!G20+'5.vaccine'!G20</f>
        <v>12745.47</v>
      </c>
      <c r="H20" s="202">
        <f>'1.1รวมยาทั้งหมด(1+2+3+4)'!H20+'5.vaccine'!H20</f>
        <v>16058.77</v>
      </c>
      <c r="I20" s="202">
        <f>'1.1รวมยาทั้งหมด(1+2+3+4)'!I20+'5.vaccine'!I20</f>
        <v>11498.8</v>
      </c>
      <c r="J20" s="202">
        <f>'1.1รวมยาทั้งหมด(1+2+3+4)'!J20+'5.vaccine'!J20</f>
        <v>8118.8899999999994</v>
      </c>
      <c r="K20" s="202">
        <f>'1.1รวมยาทั้งหมด(1+2+3+4)'!K20+'5.vaccine'!K20</f>
        <v>12102.599999999999</v>
      </c>
      <c r="L20" s="202">
        <f>'1.1รวมยาทั้งหมด(1+2+3+4)'!L20+'5.vaccine'!L20</f>
        <v>15922.07</v>
      </c>
      <c r="M20" s="202">
        <f>'1.1รวมยาทั้งหมด(1+2+3+4)'!M20+'5.vaccine'!M20</f>
        <v>11687.64</v>
      </c>
      <c r="N20" s="202">
        <f>'1.1รวมยาทั้งหมด(1+2+3+4)'!N20+'5.vaccine'!N20</f>
        <v>18350.72</v>
      </c>
      <c r="O20" s="215">
        <f t="shared" si="1"/>
        <v>124195.98</v>
      </c>
      <c r="P20" s="330">
        <f t="shared" si="0"/>
        <v>1.821512618076437E-2</v>
      </c>
    </row>
    <row r="21" spans="1:16" ht="18" customHeight="1" x14ac:dyDescent="0.2">
      <c r="A21" s="25">
        <v>17</v>
      </c>
      <c r="B21" s="28" t="s">
        <v>14</v>
      </c>
      <c r="C21" s="201">
        <f>'1.1รวมยาทั้งหมด(1+2+3+4)'!C21+'5.vaccine'!C21</f>
        <v>28575.48</v>
      </c>
      <c r="D21" s="202">
        <f>'1.1รวมยาทั้งหมด(1+2+3+4)'!D21+'5.vaccine'!D21</f>
        <v>36415.279999999999</v>
      </c>
      <c r="E21" s="202">
        <f>'1.1รวมยาทั้งหมด(1+2+3+4)'!E21+'5.vaccine'!E21</f>
        <v>23650.33</v>
      </c>
      <c r="F21" s="202">
        <f>'1.1รวมยาทั้งหมด(1+2+3+4)'!F21+'5.vaccine'!F21</f>
        <v>24517.98</v>
      </c>
      <c r="G21" s="202">
        <f>'1.1รวมยาทั้งหมด(1+2+3+4)'!G21+'5.vaccine'!G21</f>
        <v>29720.78</v>
      </c>
      <c r="H21" s="202">
        <f>'1.1รวมยาทั้งหมด(1+2+3+4)'!H21+'5.vaccine'!H21</f>
        <v>21697.699999999997</v>
      </c>
      <c r="I21" s="202">
        <f>'1.1รวมยาทั้งหมด(1+2+3+4)'!I21+'5.vaccine'!I21</f>
        <v>23892.489999999998</v>
      </c>
      <c r="J21" s="202">
        <f>'1.1รวมยาทั้งหมด(1+2+3+4)'!J21+'5.vaccine'!J21</f>
        <v>17909.45</v>
      </c>
      <c r="K21" s="202">
        <f>'1.1รวมยาทั้งหมด(1+2+3+4)'!K21+'5.vaccine'!K21</f>
        <v>26351.559999999998</v>
      </c>
      <c r="L21" s="202">
        <f>'1.1รวมยาทั้งหมด(1+2+3+4)'!L21+'5.vaccine'!L21</f>
        <v>29493.019999999997</v>
      </c>
      <c r="M21" s="202">
        <f>'1.1รวมยาทั้งหมด(1+2+3+4)'!M21+'5.vaccine'!M21</f>
        <v>37272.559999999998</v>
      </c>
      <c r="N21" s="202">
        <f>'1.1รวมยาทั้งหมด(1+2+3+4)'!N21+'5.vaccine'!N21</f>
        <v>44427.82</v>
      </c>
      <c r="O21" s="215">
        <f t="shared" si="1"/>
        <v>343924.45</v>
      </c>
      <c r="P21" s="330">
        <f t="shared" si="0"/>
        <v>5.0441465604603206E-2</v>
      </c>
    </row>
    <row r="22" spans="1:16" ht="18" customHeight="1" x14ac:dyDescent="0.2">
      <c r="A22" s="25">
        <v>18</v>
      </c>
      <c r="B22" s="28" t="s">
        <v>15</v>
      </c>
      <c r="C22" s="201">
        <f>'1.1รวมยาทั้งหมด(1+2+3+4)'!C22+'5.vaccine'!C22</f>
        <v>13101.199999999999</v>
      </c>
      <c r="D22" s="202">
        <f>'1.1รวมยาทั้งหมด(1+2+3+4)'!D22+'5.vaccine'!D22</f>
        <v>4319.32</v>
      </c>
      <c r="E22" s="202">
        <f>'1.1รวมยาทั้งหมด(1+2+3+4)'!E22+'5.vaccine'!E22</f>
        <v>6328.7200000000012</v>
      </c>
      <c r="F22" s="202">
        <f>'1.1รวมยาทั้งหมด(1+2+3+4)'!F22+'5.vaccine'!F22</f>
        <v>8775.02</v>
      </c>
      <c r="G22" s="202">
        <f>'1.1รวมยาทั้งหมด(1+2+3+4)'!G22+'5.vaccine'!G22</f>
        <v>10807.54</v>
      </c>
      <c r="H22" s="202">
        <f>'1.1รวมยาทั้งหมด(1+2+3+4)'!H22+'5.vaccine'!H22</f>
        <v>4297.67</v>
      </c>
      <c r="I22" s="202">
        <f>'1.1รวมยาทั้งหมด(1+2+3+4)'!I22+'5.vaccine'!I22</f>
        <v>8767.130000000001</v>
      </c>
      <c r="J22" s="202">
        <f>'1.1รวมยาทั้งหมด(1+2+3+4)'!J22+'5.vaccine'!J22</f>
        <v>2699.12</v>
      </c>
      <c r="K22" s="202">
        <f>'1.1รวมยาทั้งหมด(1+2+3+4)'!K22+'5.vaccine'!K22</f>
        <v>13082.7</v>
      </c>
      <c r="L22" s="202">
        <f>'1.1รวมยาทั้งหมด(1+2+3+4)'!L22+'5.vaccine'!L22</f>
        <v>20057.439999999999</v>
      </c>
      <c r="M22" s="202">
        <f>'1.1รวมยาทั้งหมด(1+2+3+4)'!M22+'5.vaccine'!M22</f>
        <v>20491.53</v>
      </c>
      <c r="N22" s="202">
        <f>'1.1รวมยาทั้งหมด(1+2+3+4)'!N22+'5.vaccine'!N22</f>
        <v>2478.79</v>
      </c>
      <c r="O22" s="215">
        <f t="shared" si="1"/>
        <v>115206.18000000001</v>
      </c>
      <c r="P22" s="330">
        <f t="shared" si="0"/>
        <v>1.6896642753685367E-2</v>
      </c>
    </row>
    <row r="23" spans="1:16" s="48" customFormat="1" ht="18" customHeight="1" x14ac:dyDescent="0.2">
      <c r="A23" s="45">
        <v>5.4166666666666669E-2</v>
      </c>
      <c r="B23" s="46" t="s">
        <v>22</v>
      </c>
      <c r="C23" s="213">
        <f t="shared" ref="C23:N23" si="2">SUM(C5:C22)</f>
        <v>525221.33550000004</v>
      </c>
      <c r="D23" s="214">
        <f t="shared" si="2"/>
        <v>661441.86</v>
      </c>
      <c r="E23" s="214">
        <f t="shared" si="2"/>
        <v>420257.1</v>
      </c>
      <c r="F23" s="214">
        <f t="shared" si="2"/>
        <v>609467.51</v>
      </c>
      <c r="G23" s="214">
        <f t="shared" si="2"/>
        <v>526119.94000000006</v>
      </c>
      <c r="H23" s="214">
        <f t="shared" si="2"/>
        <v>559275.05999999994</v>
      </c>
      <c r="I23" s="214">
        <f t="shared" si="2"/>
        <v>491251.63999999996</v>
      </c>
      <c r="J23" s="214">
        <f t="shared" si="2"/>
        <v>577838.96</v>
      </c>
      <c r="K23" s="214">
        <f t="shared" si="2"/>
        <v>612527.19999999995</v>
      </c>
      <c r="L23" s="214">
        <f t="shared" si="2"/>
        <v>622489.77</v>
      </c>
      <c r="M23" s="214">
        <f t="shared" si="2"/>
        <v>564252.83000000007</v>
      </c>
      <c r="N23" s="214">
        <f t="shared" si="2"/>
        <v>648145</v>
      </c>
      <c r="O23" s="318">
        <f t="shared" si="1"/>
        <v>6818288.2055000011</v>
      </c>
      <c r="P23" s="331">
        <f t="shared" si="0"/>
        <v>1</v>
      </c>
    </row>
    <row r="24" spans="1:16" ht="18" customHeight="1" x14ac:dyDescent="0.2">
      <c r="A24" s="30">
        <v>19</v>
      </c>
      <c r="B24" s="31" t="s">
        <v>16</v>
      </c>
      <c r="C24" s="201">
        <f>'1.1รวมยาทั้งหมด(1+2+3+4)'!C24+'5.vaccine'!C24</f>
        <v>9934.6299999999992</v>
      </c>
      <c r="D24" s="201">
        <f>'1.1รวมยาทั้งหมด(1+2+3+4)'!D24+'5.vaccine'!D24</f>
        <v>23853.289999999997</v>
      </c>
      <c r="E24" s="201">
        <f>'1.1รวมยาทั้งหมด(1+2+3+4)'!E24+'5.vaccine'!E24</f>
        <v>9380.2099999999991</v>
      </c>
      <c r="F24" s="201">
        <f>'1.1รวมยาทั้งหมด(1+2+3+4)'!F24+'5.vaccine'!F24</f>
        <v>8118.09</v>
      </c>
      <c r="G24" s="201">
        <f>'1.1รวมยาทั้งหมด(1+2+3+4)'!G24+'5.vaccine'!G24</f>
        <v>10312.76</v>
      </c>
      <c r="H24" s="201">
        <f>'1.1รวมยาทั้งหมด(1+2+3+4)'!H24+'5.vaccine'!H24</f>
        <v>5565.5300000000007</v>
      </c>
      <c r="I24" s="201">
        <f>'1.1รวมยาทั้งหมด(1+2+3+4)'!I24+'5.vaccine'!I24</f>
        <v>11448.939999999999</v>
      </c>
      <c r="J24" s="201">
        <f>'1.1รวมยาทั้งหมด(1+2+3+4)'!J24+'5.vaccine'!J24</f>
        <v>20980.920000000002</v>
      </c>
      <c r="K24" s="201">
        <f>'1.1รวมยาทั้งหมด(1+2+3+4)'!K24+'5.vaccine'!K24</f>
        <v>19991.439999999999</v>
      </c>
      <c r="L24" s="201">
        <f>'1.1รวมยาทั้งหมด(1+2+3+4)'!L24+'5.vaccine'!L24</f>
        <v>22041.569999999996</v>
      </c>
      <c r="M24" s="201">
        <f>'1.1รวมยาทั้งหมด(1+2+3+4)'!M24+'5.vaccine'!M24</f>
        <v>32761.21</v>
      </c>
      <c r="N24" s="201">
        <f>'1.1รวมยาทั้งหมด(1+2+3+4)'!N24+'5.vaccine'!N24</f>
        <v>18577.27</v>
      </c>
      <c r="O24" s="215">
        <f t="shared" si="1"/>
        <v>192965.86</v>
      </c>
      <c r="P24" s="330">
        <f t="shared" si="0"/>
        <v>2.8301217869368334E-2</v>
      </c>
    </row>
    <row r="25" spans="1:16" ht="18" customHeight="1" x14ac:dyDescent="0.2">
      <c r="A25" s="30">
        <v>20</v>
      </c>
      <c r="B25" s="28" t="s">
        <v>17</v>
      </c>
      <c r="C25" s="201">
        <f>'1.1รวมยาทั้งหมด(1+2+3+4)'!C25+'5.vaccine'!C25</f>
        <v>0</v>
      </c>
      <c r="D25" s="201">
        <f>'1.1รวมยาทั้งหมด(1+2+3+4)'!D25+'5.vaccine'!D25</f>
        <v>0</v>
      </c>
      <c r="E25" s="201">
        <f>'1.1รวมยาทั้งหมด(1+2+3+4)'!E25+'5.vaccine'!E25</f>
        <v>0</v>
      </c>
      <c r="F25" s="201">
        <f>'1.1รวมยาทั้งหมด(1+2+3+4)'!F25+'5.vaccine'!F25</f>
        <v>0</v>
      </c>
      <c r="G25" s="201">
        <f>'1.1รวมยาทั้งหมด(1+2+3+4)'!G25+'5.vaccine'!G25</f>
        <v>0</v>
      </c>
      <c r="H25" s="201">
        <f>'1.1รวมยาทั้งหมด(1+2+3+4)'!H25+'5.vaccine'!H25</f>
        <v>2385.0300000000002</v>
      </c>
      <c r="I25" s="201">
        <f>'1.1รวมยาทั้งหมด(1+2+3+4)'!I25+'5.vaccine'!I25</f>
        <v>0</v>
      </c>
      <c r="J25" s="201">
        <f>'1.1รวมยาทั้งหมด(1+2+3+4)'!J25+'5.vaccine'!J25</f>
        <v>0</v>
      </c>
      <c r="K25" s="201">
        <f>'1.1รวมยาทั้งหมด(1+2+3+4)'!K25+'5.vaccine'!K25</f>
        <v>0</v>
      </c>
      <c r="L25" s="201">
        <f>'1.1รวมยาทั้งหมด(1+2+3+4)'!L25+'5.vaccine'!L25</f>
        <v>0</v>
      </c>
      <c r="M25" s="201">
        <f>'1.1รวมยาทั้งหมด(1+2+3+4)'!M25+'5.vaccine'!M25</f>
        <v>0</v>
      </c>
      <c r="N25" s="201">
        <f>'1.1รวมยาทั้งหมด(1+2+3+4)'!N25+'5.vaccine'!N25</f>
        <v>0</v>
      </c>
      <c r="O25" s="215">
        <f t="shared" si="1"/>
        <v>2385.0300000000002</v>
      </c>
      <c r="P25" s="330">
        <f t="shared" si="0"/>
        <v>3.4979894192153769E-4</v>
      </c>
    </row>
    <row r="26" spans="1:16" s="48" customFormat="1" ht="18" customHeight="1" x14ac:dyDescent="0.2">
      <c r="A26" s="49" t="s">
        <v>71</v>
      </c>
      <c r="B26" s="50" t="s">
        <v>23</v>
      </c>
      <c r="C26" s="216">
        <f>C24+C25</f>
        <v>9934.6299999999992</v>
      </c>
      <c r="D26" s="217">
        <f t="shared" ref="D26:N26" si="3">D24+D25</f>
        <v>23853.289999999997</v>
      </c>
      <c r="E26" s="217">
        <f t="shared" si="3"/>
        <v>9380.2099999999991</v>
      </c>
      <c r="F26" s="217">
        <f t="shared" si="3"/>
        <v>8118.09</v>
      </c>
      <c r="G26" s="217">
        <f t="shared" si="3"/>
        <v>10312.76</v>
      </c>
      <c r="H26" s="217">
        <f t="shared" si="3"/>
        <v>7950.5600000000013</v>
      </c>
      <c r="I26" s="217">
        <f t="shared" si="3"/>
        <v>11448.939999999999</v>
      </c>
      <c r="J26" s="217">
        <f t="shared" si="3"/>
        <v>20980.920000000002</v>
      </c>
      <c r="K26" s="217">
        <f t="shared" si="3"/>
        <v>19991.439999999999</v>
      </c>
      <c r="L26" s="217">
        <f t="shared" si="3"/>
        <v>22041.569999999996</v>
      </c>
      <c r="M26" s="217">
        <f t="shared" si="3"/>
        <v>32761.21</v>
      </c>
      <c r="N26" s="217">
        <f t="shared" si="3"/>
        <v>18577.27</v>
      </c>
      <c r="O26" s="218">
        <f t="shared" si="1"/>
        <v>195350.88999999998</v>
      </c>
      <c r="P26" s="332">
        <f t="shared" si="0"/>
        <v>2.8651016811289873E-2</v>
      </c>
    </row>
    <row r="27" spans="1:16" s="55" customFormat="1" ht="18" customHeight="1" x14ac:dyDescent="0.2">
      <c r="A27" s="203" t="s">
        <v>68</v>
      </c>
      <c r="B27" s="219" t="s">
        <v>25</v>
      </c>
      <c r="C27" s="220">
        <f>C23+C26</f>
        <v>535155.96550000005</v>
      </c>
      <c r="D27" s="221">
        <f t="shared" ref="D27:N27" si="4">D23+D26</f>
        <v>685295.15</v>
      </c>
      <c r="E27" s="221">
        <f t="shared" si="4"/>
        <v>429637.31</v>
      </c>
      <c r="F27" s="221">
        <f t="shared" si="4"/>
        <v>617585.6</v>
      </c>
      <c r="G27" s="221">
        <f t="shared" si="4"/>
        <v>536432.70000000007</v>
      </c>
      <c r="H27" s="221">
        <f t="shared" si="4"/>
        <v>567225.62</v>
      </c>
      <c r="I27" s="221">
        <f t="shared" si="4"/>
        <v>502700.57999999996</v>
      </c>
      <c r="J27" s="221">
        <f t="shared" si="4"/>
        <v>598819.88</v>
      </c>
      <c r="K27" s="221">
        <f t="shared" si="4"/>
        <v>632518.6399999999</v>
      </c>
      <c r="L27" s="221">
        <f t="shared" si="4"/>
        <v>644531.34</v>
      </c>
      <c r="M27" s="221">
        <f t="shared" si="4"/>
        <v>597014.04</v>
      </c>
      <c r="N27" s="221">
        <f t="shared" si="4"/>
        <v>666722.27</v>
      </c>
      <c r="O27" s="222">
        <f t="shared" si="1"/>
        <v>7013639.0954999998</v>
      </c>
      <c r="P27" s="333">
        <f t="shared" si="0"/>
        <v>1.0286510168112897</v>
      </c>
    </row>
    <row r="28" spans="1:16" ht="13.5" customHeight="1" x14ac:dyDescent="0.2"/>
    <row r="29" spans="1:16" ht="13.5" customHeight="1" x14ac:dyDescent="0.2"/>
    <row r="30" spans="1:16" ht="18" customHeight="1" x14ac:dyDescent="0.2">
      <c r="G30" s="362" t="s">
        <v>74</v>
      </c>
      <c r="H30" s="362"/>
      <c r="I30" s="362"/>
      <c r="J30" s="3"/>
      <c r="K30" s="3"/>
      <c r="L30" s="362" t="s">
        <v>50</v>
      </c>
      <c r="M30" s="362"/>
      <c r="N30" s="362"/>
    </row>
    <row r="31" spans="1:16" ht="18" customHeight="1" x14ac:dyDescent="0.2">
      <c r="G31" s="3"/>
      <c r="H31" s="3" t="s">
        <v>51</v>
      </c>
      <c r="I31" s="3"/>
      <c r="J31" s="3"/>
      <c r="K31" s="3"/>
      <c r="L31" s="2"/>
      <c r="M31" s="3" t="s">
        <v>52</v>
      </c>
      <c r="N31" s="8"/>
    </row>
    <row r="32" spans="1:16" ht="18" customHeight="1" x14ac:dyDescent="0.2">
      <c r="G32" s="3"/>
      <c r="H32" s="2" t="s">
        <v>53</v>
      </c>
      <c r="I32" s="2"/>
      <c r="J32" s="2"/>
      <c r="K32" s="3"/>
      <c r="L32" s="2"/>
      <c r="M32" s="3" t="s">
        <v>54</v>
      </c>
      <c r="N32" s="8"/>
    </row>
    <row r="33" spans="7:14" ht="18" customHeight="1" x14ac:dyDescent="0.2">
      <c r="G33" s="2"/>
      <c r="H33" s="2"/>
      <c r="I33" s="2"/>
      <c r="J33" s="2"/>
      <c r="K33" s="3"/>
      <c r="L33" s="2"/>
      <c r="M33" s="2"/>
      <c r="N33" s="4"/>
    </row>
  </sheetData>
  <mergeCells count="2">
    <mergeCell ref="G30:I30"/>
    <mergeCell ref="L30:N30"/>
  </mergeCells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Q33"/>
  <sheetViews>
    <sheetView showGridLines="0" workbookViewId="0">
      <selection activeCell="B2" sqref="B2"/>
    </sheetView>
  </sheetViews>
  <sheetFormatPr defaultRowHeight="17.25" customHeight="1" x14ac:dyDescent="0.45"/>
  <cols>
    <col min="1" max="1" width="6.625" style="62" customWidth="1"/>
    <col min="2" max="2" width="14.375" style="194" customWidth="1"/>
    <col min="3" max="14" width="8.5" style="61" customWidth="1"/>
    <col min="15" max="15" width="9.375" style="167" customWidth="1"/>
    <col min="16" max="16" width="11.625" style="322" customWidth="1"/>
    <col min="17" max="16384" width="9" style="61"/>
  </cols>
  <sheetData>
    <row r="1" spans="1:17" s="145" customFormat="1" ht="21" customHeight="1" x14ac:dyDescent="0.2">
      <c r="A1" s="139"/>
      <c r="B1" s="140"/>
      <c r="C1" s="162"/>
      <c r="D1" s="140" t="s">
        <v>44</v>
      </c>
      <c r="E1" s="162"/>
      <c r="F1" s="162"/>
      <c r="G1" s="162"/>
      <c r="H1" s="162"/>
      <c r="K1" s="140" t="str">
        <f>สรุปยอด!C3</f>
        <v xml:space="preserve"> ปีงบประมาณ   2561</v>
      </c>
      <c r="L1" s="162"/>
      <c r="M1" s="162"/>
      <c r="N1" s="162"/>
      <c r="O1" s="162"/>
      <c r="P1" s="321"/>
      <c r="Q1" s="144"/>
    </row>
    <row r="2" spans="1:17" s="145" customFormat="1" ht="21" customHeight="1" x14ac:dyDescent="0.2">
      <c r="A2" s="139"/>
      <c r="B2" s="140"/>
      <c r="C2" s="140" t="str">
        <f>'[1]1.1.ยา(ทั่วไป)'!C2</f>
        <v>จาก ฝ่ายเภสัชกรรมชุมชน  โรงพยาบาลกุมภวาปี</v>
      </c>
      <c r="D2" s="162"/>
      <c r="F2" s="162"/>
      <c r="G2" s="162"/>
      <c r="I2" s="162"/>
      <c r="J2" s="162"/>
      <c r="K2" s="162"/>
      <c r="M2" s="163"/>
      <c r="N2" s="164" t="str">
        <f>สรุปยอด!D4</f>
        <v xml:space="preserve">รายงานข้อมูลณ วันที่ 28/9/61 </v>
      </c>
      <c r="O2" s="165"/>
      <c r="P2" s="321"/>
      <c r="Q2" s="144"/>
    </row>
    <row r="3" spans="1:17" s="207" customFormat="1" ht="5.25" customHeight="1" x14ac:dyDescent="0.45">
      <c r="A3" s="167"/>
      <c r="B3" s="223"/>
      <c r="O3" s="167"/>
      <c r="P3" s="326"/>
    </row>
    <row r="4" spans="1:17" s="207" customFormat="1" ht="43.5" customHeight="1" x14ac:dyDescent="0.45">
      <c r="A4" s="200" t="s">
        <v>0</v>
      </c>
      <c r="B4" s="224" t="s">
        <v>1</v>
      </c>
      <c r="C4" s="169" t="s">
        <v>27</v>
      </c>
      <c r="D4" s="169" t="s">
        <v>28</v>
      </c>
      <c r="E4" s="169" t="s">
        <v>29</v>
      </c>
      <c r="F4" s="169" t="s">
        <v>30</v>
      </c>
      <c r="G4" s="169" t="s">
        <v>31</v>
      </c>
      <c r="H4" s="169" t="s">
        <v>32</v>
      </c>
      <c r="I4" s="169" t="s">
        <v>33</v>
      </c>
      <c r="J4" s="169" t="s">
        <v>34</v>
      </c>
      <c r="K4" s="169" t="s">
        <v>35</v>
      </c>
      <c r="L4" s="169" t="s">
        <v>36</v>
      </c>
      <c r="M4" s="169" t="s">
        <v>37</v>
      </c>
      <c r="N4" s="169" t="s">
        <v>38</v>
      </c>
      <c r="O4" s="169" t="s">
        <v>39</v>
      </c>
      <c r="P4" s="327" t="s">
        <v>40</v>
      </c>
    </row>
    <row r="5" spans="1:17" ht="17.25" customHeight="1" x14ac:dyDescent="0.45">
      <c r="A5" s="25">
        <v>1</v>
      </c>
      <c r="B5" s="26" t="s">
        <v>18</v>
      </c>
      <c r="C5" s="184">
        <f>'1.1รวมยาทั้งหมด(1+2+3+4)'!C5+'2.รวมวชย ทุกประเภท'!C5</f>
        <v>160049.45000000001</v>
      </c>
      <c r="D5" s="184">
        <f>'1.1รวมยาทั้งหมด(1+2+3+4)'!D5+'2.รวมวชย ทุกประเภท'!D5</f>
        <v>141677</v>
      </c>
      <c r="E5" s="184">
        <f>'1.1รวมยาทั้งหมด(1+2+3+4)'!E5+'2.รวมวชย ทุกประเภท'!E5</f>
        <v>81978.049999999988</v>
      </c>
      <c r="F5" s="184">
        <f>'1.1รวมยาทั้งหมด(1+2+3+4)'!F5+'2.รวมวชย ทุกประเภท'!F5</f>
        <v>103733.79</v>
      </c>
      <c r="G5" s="184">
        <f>'1.1รวมยาทั้งหมด(1+2+3+4)'!G5+'2.รวมวชย ทุกประเภท'!G5</f>
        <v>68227.150000000009</v>
      </c>
      <c r="H5" s="184">
        <f>'1.1รวมยาทั้งหมด(1+2+3+4)'!H5+'2.รวมวชย ทุกประเภท'!H5</f>
        <v>90327.540000000008</v>
      </c>
      <c r="I5" s="184">
        <f>'1.1รวมยาทั้งหมด(1+2+3+4)'!I5+'2.รวมวชย ทุกประเภท'!I5</f>
        <v>0</v>
      </c>
      <c r="J5" s="184">
        <f>'1.1รวมยาทั้งหมด(1+2+3+4)'!J5+'2.รวมวชย ทุกประเภท'!J5</f>
        <v>151349.97</v>
      </c>
      <c r="K5" s="184">
        <f>'1.1รวมยาทั้งหมด(1+2+3+4)'!K5+'2.รวมวชย ทุกประเภท'!K5</f>
        <v>118442.76000000001</v>
      </c>
      <c r="L5" s="184">
        <f>'1.1รวมยาทั้งหมด(1+2+3+4)'!L5+'2.รวมวชย ทุกประเภท'!L5</f>
        <v>124421.23000000001</v>
      </c>
      <c r="M5" s="184">
        <f>'1.1รวมยาทั้งหมด(1+2+3+4)'!M5+'2.รวมวชย ทุกประเภท'!M5</f>
        <v>78828.820000000007</v>
      </c>
      <c r="N5" s="184">
        <f>'1.1รวมยาทั้งหมด(1+2+3+4)'!N5+'2.รวมวชย ทุกประเภท'!N5</f>
        <v>76112.11</v>
      </c>
      <c r="O5" s="225">
        <f>SUM(C5:N5)</f>
        <v>1195147.8700000001</v>
      </c>
      <c r="P5" s="319">
        <f t="shared" ref="P5:P27" si="0">O5/$O$23</f>
        <v>0.1666122001517181</v>
      </c>
    </row>
    <row r="6" spans="1:17" ht="17.25" customHeight="1" x14ac:dyDescent="0.45">
      <c r="A6" s="25">
        <v>2</v>
      </c>
      <c r="B6" s="26" t="s">
        <v>19</v>
      </c>
      <c r="C6" s="184">
        <f>'1.1รวมยาทั้งหมด(1+2+3+4)'!C6+'2.รวมวชย ทุกประเภท'!C6</f>
        <v>62420.80000000001</v>
      </c>
      <c r="D6" s="184">
        <f>'1.1รวมยาทั้งหมด(1+2+3+4)'!D6+'2.รวมวชย ทุกประเภท'!D6</f>
        <v>67775.239999999991</v>
      </c>
      <c r="E6" s="184">
        <f>'1.1รวมยาทั้งหมด(1+2+3+4)'!E6+'2.รวมวชย ทุกประเภท'!E6</f>
        <v>47903.74</v>
      </c>
      <c r="F6" s="184">
        <f>'1.1รวมยาทั้งหมด(1+2+3+4)'!F6+'2.รวมวชย ทุกประเภท'!F6</f>
        <v>63011.74</v>
      </c>
      <c r="G6" s="184">
        <f>'1.1รวมยาทั้งหมด(1+2+3+4)'!G6+'2.รวมวชย ทุกประเภท'!G6</f>
        <v>47576.33</v>
      </c>
      <c r="H6" s="184">
        <f>'1.1รวมยาทั้งหมด(1+2+3+4)'!H6+'2.รวมวชย ทุกประเภท'!H6</f>
        <v>63315.869999999995</v>
      </c>
      <c r="I6" s="184">
        <f>'1.1รวมยาทั้งหมด(1+2+3+4)'!I6+'2.รวมวชย ทุกประเภท'!I6</f>
        <v>50660.069999999992</v>
      </c>
      <c r="J6" s="184">
        <f>'1.1รวมยาทั้งหมด(1+2+3+4)'!J6+'2.รวมวชย ทุกประเภท'!J6</f>
        <v>25232.78</v>
      </c>
      <c r="K6" s="184">
        <f>'1.1รวมยาทั้งหมด(1+2+3+4)'!K6+'2.รวมวชย ทุกประเภท'!K6</f>
        <v>57738.920000000006</v>
      </c>
      <c r="L6" s="184">
        <f>'1.1รวมยาทั้งหมด(1+2+3+4)'!L6+'2.รวมวชย ทุกประเภท'!L6</f>
        <v>124176.74</v>
      </c>
      <c r="M6" s="184">
        <f>'1.1รวมยาทั้งหมด(1+2+3+4)'!M6+'2.รวมวชย ทุกประเภท'!M6</f>
        <v>63235.399999999994</v>
      </c>
      <c r="N6" s="184">
        <f>'1.1รวมยาทั้งหมด(1+2+3+4)'!N6+'2.รวมวชย ทุกประเภท'!N6</f>
        <v>67926.320000000007</v>
      </c>
      <c r="O6" s="225">
        <f t="shared" ref="O6:O27" si="1">SUM(C6:N6)</f>
        <v>740973.95</v>
      </c>
      <c r="P6" s="319">
        <f t="shared" si="0"/>
        <v>0.10329709248832041</v>
      </c>
    </row>
    <row r="7" spans="1:17" ht="17.25" customHeight="1" x14ac:dyDescent="0.45">
      <c r="A7" s="25">
        <v>3</v>
      </c>
      <c r="B7" s="26" t="s">
        <v>20</v>
      </c>
      <c r="C7" s="184">
        <f>'1.1รวมยาทั้งหมด(1+2+3+4)'!C7+'2.รวมวชย ทุกประเภท'!C7</f>
        <v>7673.98</v>
      </c>
      <c r="D7" s="184">
        <f>'1.1รวมยาทั้งหมด(1+2+3+4)'!D7+'2.รวมวชย ทุกประเภท'!D7</f>
        <v>35907.1</v>
      </c>
      <c r="E7" s="184">
        <f>'1.1รวมยาทั้งหมด(1+2+3+4)'!E7+'2.รวมวชย ทุกประเภท'!E7</f>
        <v>22364.43</v>
      </c>
      <c r="F7" s="184">
        <f>'1.1รวมยาทั้งหมด(1+2+3+4)'!F7+'2.รวมวชย ทุกประเภท'!F7</f>
        <v>30947.33</v>
      </c>
      <c r="G7" s="184">
        <f>'1.1รวมยาทั้งหมด(1+2+3+4)'!G7+'2.รวมวชย ทุกประเภท'!G7</f>
        <v>31571.88</v>
      </c>
      <c r="H7" s="184">
        <f>'1.1รวมยาทั้งหมด(1+2+3+4)'!H7+'2.รวมวชย ทุกประเภท'!H7</f>
        <v>41938.350000000006</v>
      </c>
      <c r="I7" s="184">
        <f>'1.1รวมยาทั้งหมด(1+2+3+4)'!I7+'2.รวมวชย ทุกประเภท'!I7</f>
        <v>19995.8</v>
      </c>
      <c r="J7" s="184">
        <f>'1.1รวมยาทั้งหมด(1+2+3+4)'!J7+'2.รวมวชย ทุกประเภท'!J7</f>
        <v>13035.96</v>
      </c>
      <c r="K7" s="184">
        <f>'1.1รวมยาทั้งหมด(1+2+3+4)'!K7+'2.รวมวชย ทุกประเภท'!K7</f>
        <v>21477.95</v>
      </c>
      <c r="L7" s="184">
        <f>'1.1รวมยาทั้งหมด(1+2+3+4)'!L7+'2.รวมวชย ทุกประเภท'!L7</f>
        <v>54017.34</v>
      </c>
      <c r="M7" s="184">
        <f>'1.1รวมยาทั้งหมด(1+2+3+4)'!M7+'2.รวมวชย ทุกประเภท'!M7</f>
        <v>17315.219999999998</v>
      </c>
      <c r="N7" s="184">
        <f>'1.1รวมยาทั้งหมด(1+2+3+4)'!N7+'2.รวมวชย ทุกประเภท'!N7</f>
        <v>50947.63</v>
      </c>
      <c r="O7" s="225">
        <f t="shared" si="1"/>
        <v>347192.97</v>
      </c>
      <c r="P7" s="319">
        <f t="shared" si="0"/>
        <v>4.8401194580976366E-2</v>
      </c>
    </row>
    <row r="8" spans="1:17" ht="17.25" customHeight="1" x14ac:dyDescent="0.45">
      <c r="A8" s="25">
        <v>4</v>
      </c>
      <c r="B8" s="26" t="s">
        <v>21</v>
      </c>
      <c r="C8" s="184">
        <f>'1.1รวมยาทั้งหมด(1+2+3+4)'!C8+'2.รวมวชย ทุกประเภท'!C8</f>
        <v>51528.009999999995</v>
      </c>
      <c r="D8" s="184">
        <f>'1.1รวมยาทั้งหมด(1+2+3+4)'!D8+'2.รวมวชย ทุกประเภท'!D8</f>
        <v>120911.93</v>
      </c>
      <c r="E8" s="184">
        <f>'1.1รวมยาทั้งหมด(1+2+3+4)'!E8+'2.รวมวชย ทุกประเภท'!E8</f>
        <v>20557.45</v>
      </c>
      <c r="F8" s="184">
        <f>'1.1รวมยาทั้งหมด(1+2+3+4)'!F8+'2.รวมวชย ทุกประเภท'!F8</f>
        <v>81257.17</v>
      </c>
      <c r="G8" s="184">
        <f>'1.1รวมยาทั้งหมด(1+2+3+4)'!G8+'2.รวมวชย ทุกประเภท'!G8</f>
        <v>56405.69</v>
      </c>
      <c r="H8" s="184">
        <f>'1.1รวมยาทั้งหมด(1+2+3+4)'!H8+'2.รวมวชย ทุกประเภท'!H8</f>
        <v>76829.850000000006</v>
      </c>
      <c r="I8" s="184">
        <f>'1.1รวมยาทั้งหมด(1+2+3+4)'!I8+'2.รวมวชย ทุกประเภท'!I8</f>
        <v>57366.400000000001</v>
      </c>
      <c r="J8" s="184">
        <f>'1.1รวมยาทั้งหมด(1+2+3+4)'!J8+'2.รวมวชย ทุกประเภท'!J8</f>
        <v>55911.630000000005</v>
      </c>
      <c r="K8" s="184">
        <f>'1.1รวมยาทั้งหมด(1+2+3+4)'!K8+'2.รวมวชย ทุกประเภท'!K8</f>
        <v>28906.86</v>
      </c>
      <c r="L8" s="184">
        <f>'1.1รวมยาทั้งหมด(1+2+3+4)'!L8+'2.รวมวชย ทุกประเภท'!L8</f>
        <v>47937</v>
      </c>
      <c r="M8" s="184">
        <f>'1.1รวมยาทั้งหมด(1+2+3+4)'!M8+'2.รวมวชย ทุกประเภท'!M8</f>
        <v>70629.960000000006</v>
      </c>
      <c r="N8" s="184">
        <f>'1.1รวมยาทั้งหมด(1+2+3+4)'!N8+'2.รวมวชย ทุกประเภท'!N8</f>
        <v>35196.380000000005</v>
      </c>
      <c r="O8" s="225">
        <f t="shared" si="1"/>
        <v>703438.33</v>
      </c>
      <c r="P8" s="319">
        <f t="shared" si="0"/>
        <v>9.8064357368892185E-2</v>
      </c>
    </row>
    <row r="9" spans="1:17" ht="17.25" customHeight="1" x14ac:dyDescent="0.45">
      <c r="A9" s="25">
        <v>5</v>
      </c>
      <c r="B9" s="26" t="s">
        <v>2</v>
      </c>
      <c r="C9" s="184">
        <f>'1.1รวมยาทั้งหมด(1+2+3+4)'!C9+'2.รวมวชย ทุกประเภท'!C9</f>
        <v>18711.189999999999</v>
      </c>
      <c r="D9" s="184">
        <f>'1.1รวมยาทั้งหมด(1+2+3+4)'!D9+'2.รวมวชย ทุกประเภท'!D9</f>
        <v>45716.86</v>
      </c>
      <c r="E9" s="184">
        <f>'1.1รวมยาทั้งหมด(1+2+3+4)'!E9+'2.รวมวชย ทุกประเภท'!E9</f>
        <v>15953.61</v>
      </c>
      <c r="F9" s="184">
        <f>'1.1รวมยาทั้งหมด(1+2+3+4)'!F9+'2.รวมวชย ทุกประเภท'!F9</f>
        <v>33921.5</v>
      </c>
      <c r="G9" s="184">
        <f>'1.1รวมยาทั้งหมด(1+2+3+4)'!G9+'2.รวมวชย ทุกประเภท'!G9</f>
        <v>15300.73</v>
      </c>
      <c r="H9" s="184">
        <f>'1.1รวมยาทั้งหมด(1+2+3+4)'!H9+'2.รวมวชย ทุกประเภท'!H9</f>
        <v>29107.39</v>
      </c>
      <c r="I9" s="184">
        <f>'1.1รวมยาทั้งหมด(1+2+3+4)'!I9+'2.รวมวชย ทุกประเภท'!I9</f>
        <v>19694.890000000003</v>
      </c>
      <c r="J9" s="184">
        <f>'1.1รวมยาทั้งหมด(1+2+3+4)'!J9+'2.รวมวชย ทุกประเภท'!J9</f>
        <v>32287.69</v>
      </c>
      <c r="K9" s="184">
        <f>'1.1รวมยาทั้งหมด(1+2+3+4)'!K9+'2.รวมวชย ทุกประเภท'!K9</f>
        <v>29499.55</v>
      </c>
      <c r="L9" s="184">
        <f>'1.1รวมยาทั้งหมด(1+2+3+4)'!L9+'2.รวมวชย ทุกประเภท'!L9</f>
        <v>72861.950000000012</v>
      </c>
      <c r="M9" s="184">
        <f>'1.1รวมยาทั้งหมด(1+2+3+4)'!M9+'2.รวมวชย ทุกประเภท'!M9</f>
        <v>45215.21</v>
      </c>
      <c r="N9" s="184">
        <f>'1.1รวมยาทั้งหมด(1+2+3+4)'!N9+'2.รวมวชย ทุกประเภท'!N9</f>
        <v>26326.37</v>
      </c>
      <c r="O9" s="225">
        <f t="shared" si="1"/>
        <v>384596.94</v>
      </c>
      <c r="P9" s="319">
        <f t="shared" si="0"/>
        <v>5.3615576744506357E-2</v>
      </c>
    </row>
    <row r="10" spans="1:17" ht="17.25" customHeight="1" x14ac:dyDescent="0.45">
      <c r="A10" s="25">
        <v>6</v>
      </c>
      <c r="B10" s="26" t="s">
        <v>3</v>
      </c>
      <c r="C10" s="184">
        <f>'1.1รวมยาทั้งหมด(1+2+3+4)'!C10+'2.รวมวชย ทุกประเภท'!C10</f>
        <v>3473.09</v>
      </c>
      <c r="D10" s="184">
        <f>'1.1รวมยาทั้งหมด(1+2+3+4)'!D10+'2.รวมวชย ทุกประเภท'!D10</f>
        <v>19815.629999999997</v>
      </c>
      <c r="E10" s="184">
        <f>'1.1รวมยาทั้งหมด(1+2+3+4)'!E10+'2.รวมวชย ทุกประเภท'!E10</f>
        <v>4144.72</v>
      </c>
      <c r="F10" s="184">
        <f>'1.1รวมยาทั้งหมด(1+2+3+4)'!F10+'2.รวมวชย ทุกประเภท'!F10</f>
        <v>21067.879999999997</v>
      </c>
      <c r="G10" s="184">
        <f>'1.1รวมยาทั้งหมด(1+2+3+4)'!G10+'2.รวมวชย ทุกประเภท'!G10</f>
        <v>51104.630000000005</v>
      </c>
      <c r="H10" s="184">
        <f>'1.1รวมยาทั้งหมด(1+2+3+4)'!H10+'2.รวมวชย ทุกประเภท'!H10</f>
        <v>10520.970000000001</v>
      </c>
      <c r="I10" s="184">
        <f>'1.1รวมยาทั้งหมด(1+2+3+4)'!I10+'2.รวมวชย ทุกประเภท'!I10</f>
        <v>13695.369999999999</v>
      </c>
      <c r="J10" s="184">
        <f>'1.1รวมยาทั้งหมด(1+2+3+4)'!J10+'2.รวมวชย ทุกประเภท'!J10</f>
        <v>19652.25</v>
      </c>
      <c r="K10" s="184">
        <f>'1.1รวมยาทั้งหมด(1+2+3+4)'!K10+'2.รวมวชย ทุกประเภท'!K10</f>
        <v>491.25</v>
      </c>
      <c r="L10" s="184">
        <f>'1.1รวมยาทั้งหมด(1+2+3+4)'!L10+'2.รวมวชย ทุกประเภท'!L10</f>
        <v>47936.09</v>
      </c>
      <c r="M10" s="184">
        <f>'1.1รวมยาทั้งหมด(1+2+3+4)'!M10+'2.รวมวชย ทุกประเภท'!M10</f>
        <v>37327.07</v>
      </c>
      <c r="N10" s="184">
        <f>'1.1รวมยาทั้งหมด(1+2+3+4)'!N10+'2.รวมวชย ทุกประเภท'!N10</f>
        <v>5158.8999999999996</v>
      </c>
      <c r="O10" s="225">
        <f t="shared" si="1"/>
        <v>234387.84999999998</v>
      </c>
      <c r="P10" s="319">
        <f t="shared" si="0"/>
        <v>3.2675350354204179E-2</v>
      </c>
    </row>
    <row r="11" spans="1:17" ht="17.25" customHeight="1" x14ac:dyDescent="0.45">
      <c r="A11" s="25">
        <v>7</v>
      </c>
      <c r="B11" s="26" t="s">
        <v>4</v>
      </c>
      <c r="C11" s="184">
        <f>'1.1รวมยาทั้งหมด(1+2+3+4)'!C11+'2.รวมวชย ทุกประเภท'!C11</f>
        <v>22000.44</v>
      </c>
      <c r="D11" s="184">
        <f>'1.1รวมยาทั้งหมด(1+2+3+4)'!D11+'2.รวมวชย ทุกประเภท'!D11</f>
        <v>21626.04</v>
      </c>
      <c r="E11" s="184">
        <f>'1.1รวมยาทั้งหมด(1+2+3+4)'!E11+'2.รวมวชย ทุกประเภท'!E11</f>
        <v>19036.330000000002</v>
      </c>
      <c r="F11" s="184">
        <f>'1.1รวมยาทั้งหมด(1+2+3+4)'!F11+'2.รวมวชย ทุกประเภท'!F11</f>
        <v>39860.160000000003</v>
      </c>
      <c r="G11" s="184">
        <f>'1.1รวมยาทั้งหมด(1+2+3+4)'!G11+'2.รวมวชย ทุกประเภท'!G11</f>
        <v>37770.43</v>
      </c>
      <c r="H11" s="184">
        <f>'1.1รวมยาทั้งหมด(1+2+3+4)'!H11+'2.รวมวชย ทุกประเภท'!H11</f>
        <v>26318.14</v>
      </c>
      <c r="I11" s="184">
        <f>'1.1รวมยาทั้งหมด(1+2+3+4)'!I11+'2.รวมวชย ทุกประเภท'!I11</f>
        <v>38301.83</v>
      </c>
      <c r="J11" s="184">
        <f>'1.1รวมยาทั้งหมด(1+2+3+4)'!J11+'2.รวมวชย ทุกประเภท'!J11</f>
        <v>28254.3</v>
      </c>
      <c r="K11" s="184">
        <f>'1.1รวมยาทั้งหมด(1+2+3+4)'!K11+'2.รวมวชย ทุกประเภท'!K11</f>
        <v>20546.48</v>
      </c>
      <c r="L11" s="184">
        <f>'1.1รวมยาทั้งหมด(1+2+3+4)'!L11+'2.รวมวชย ทุกประเภท'!L11</f>
        <v>28681.89</v>
      </c>
      <c r="M11" s="184">
        <f>'1.1รวมยาทั้งหมด(1+2+3+4)'!M11+'2.รวมวชย ทุกประเภท'!M11</f>
        <v>0</v>
      </c>
      <c r="N11" s="184">
        <f>'1.1รวมยาทั้งหมด(1+2+3+4)'!N11+'2.รวมวชย ทุกประเภท'!N11</f>
        <v>95978.109999999986</v>
      </c>
      <c r="O11" s="225">
        <f t="shared" si="1"/>
        <v>378374.14999999997</v>
      </c>
      <c r="P11" s="319">
        <f t="shared" si="0"/>
        <v>5.274807510809202E-2</v>
      </c>
    </row>
    <row r="12" spans="1:17" ht="17.25" customHeight="1" x14ac:dyDescent="0.45">
      <c r="A12" s="25">
        <v>8</v>
      </c>
      <c r="B12" s="26" t="s">
        <v>5</v>
      </c>
      <c r="C12" s="184">
        <f>'1.1รวมยาทั้งหมด(1+2+3+4)'!C12+'2.รวมวชย ทุกประเภท'!C12</f>
        <v>58727.56</v>
      </c>
      <c r="D12" s="184">
        <f>'1.1รวมยาทั้งหมด(1+2+3+4)'!D12+'2.รวมวชย ทุกประเภท'!D12</f>
        <v>44859.3</v>
      </c>
      <c r="E12" s="184">
        <f>'1.1รวมยาทั้งหมด(1+2+3+4)'!E12+'2.รวมวชย ทุกประเภท'!E12</f>
        <v>18059.7</v>
      </c>
      <c r="F12" s="184">
        <f>'1.1รวมยาทั้งหมด(1+2+3+4)'!F12+'2.รวมวชย ทุกประเภท'!F12</f>
        <v>53719.119999999995</v>
      </c>
      <c r="G12" s="184">
        <f>'1.1รวมยาทั้งหมด(1+2+3+4)'!G12+'2.รวมวชย ทุกประเภท'!G12</f>
        <v>26089.43</v>
      </c>
      <c r="H12" s="184">
        <f>'1.1รวมยาทั้งหมด(1+2+3+4)'!H12+'2.รวมวชย ทุกประเภท'!H12</f>
        <v>43778.05</v>
      </c>
      <c r="I12" s="184">
        <f>'1.1รวมยาทั้งหมด(1+2+3+4)'!I12+'2.รวมวชย ทุกประเภท'!I12</f>
        <v>57125.520000000004</v>
      </c>
      <c r="J12" s="184">
        <f>'1.1รวมยาทั้งหมด(1+2+3+4)'!J12+'2.รวมวชย ทุกประเภท'!J12</f>
        <v>41946.92</v>
      </c>
      <c r="K12" s="184">
        <f>'1.1รวมยาทั้งหมด(1+2+3+4)'!K12+'2.รวมวชย ทุกประเภท'!K12</f>
        <v>64951.179999999993</v>
      </c>
      <c r="L12" s="184">
        <f>'1.1รวมยาทั้งหมด(1+2+3+4)'!L12+'2.รวมวชย ทุกประเภท'!L12</f>
        <v>190594.14</v>
      </c>
      <c r="M12" s="184">
        <f>'1.1รวมยาทั้งหมด(1+2+3+4)'!M12+'2.รวมวชย ทุกประเภท'!M12</f>
        <v>3068.6</v>
      </c>
      <c r="N12" s="184">
        <f>'1.1รวมยาทั้งหมด(1+2+3+4)'!N12+'2.รวมวชย ทุกประเภท'!N12</f>
        <v>73008.62</v>
      </c>
      <c r="O12" s="225">
        <f t="shared" si="1"/>
        <v>675928.1399999999</v>
      </c>
      <c r="P12" s="319">
        <f t="shared" si="0"/>
        <v>9.4229239223643943E-2</v>
      </c>
    </row>
    <row r="13" spans="1:17" ht="17.25" customHeight="1" x14ac:dyDescent="0.45">
      <c r="A13" s="25">
        <v>9</v>
      </c>
      <c r="B13" s="26" t="s">
        <v>6</v>
      </c>
      <c r="C13" s="184">
        <f>'1.1รวมยาทั้งหมด(1+2+3+4)'!C13+'2.รวมวชย ทุกประเภท'!C13</f>
        <v>19697.350000000002</v>
      </c>
      <c r="D13" s="184">
        <f>'1.1รวมยาทั้งหมด(1+2+3+4)'!D13+'2.รวมวชย ทุกประเภท'!D13</f>
        <v>53733.840000000004</v>
      </c>
      <c r="E13" s="184">
        <f>'1.1รวมยาทั้งหมด(1+2+3+4)'!E13+'2.รวมวชย ทุกประเภท'!E13</f>
        <v>14921.220000000001</v>
      </c>
      <c r="F13" s="184">
        <f>'1.1รวมยาทั้งหมด(1+2+3+4)'!F13+'2.รวมวชย ทุกประเภท'!F13</f>
        <v>24094.47</v>
      </c>
      <c r="G13" s="184">
        <f>'1.1รวมยาทั้งหมด(1+2+3+4)'!G13+'2.รวมวชย ทุกประเภท'!G13</f>
        <v>2535.66</v>
      </c>
      <c r="H13" s="184">
        <f>'1.1รวมยาทั้งหมด(1+2+3+4)'!H13+'2.รวมวชย ทุกประเภท'!H13</f>
        <v>13203.73</v>
      </c>
      <c r="I13" s="184">
        <f>'1.1รวมยาทั้งหมด(1+2+3+4)'!I13+'2.รวมวชย ทุกประเภท'!I13</f>
        <v>57237.95</v>
      </c>
      <c r="J13" s="184">
        <f>'1.1รวมยาทั้งหมด(1+2+3+4)'!J13+'2.รวมวชย ทุกประเภท'!J13</f>
        <v>20070.809999999998</v>
      </c>
      <c r="K13" s="184">
        <f>'1.1รวมยาทั้งหมด(1+2+3+4)'!K13+'2.รวมวชย ทุกประเภท'!K13</f>
        <v>12819.99</v>
      </c>
      <c r="L13" s="184">
        <f>'1.1รวมยาทั้งหมด(1+2+3+4)'!L13+'2.รวมวชย ทุกประเภท'!L13</f>
        <v>23403.51</v>
      </c>
      <c r="M13" s="184">
        <f>'1.1รวมยาทั้งหมด(1+2+3+4)'!M13+'2.รวมวชย ทุกประเภท'!M13</f>
        <v>16482.27</v>
      </c>
      <c r="N13" s="184">
        <f>'1.1รวมยาทั้งหมด(1+2+3+4)'!N13+'2.รวมวชย ทุกประเภท'!N13</f>
        <v>14795.6</v>
      </c>
      <c r="O13" s="225">
        <f t="shared" si="1"/>
        <v>272996.39999999997</v>
      </c>
      <c r="P13" s="319">
        <f t="shared" si="0"/>
        <v>3.8057659624577238E-2</v>
      </c>
    </row>
    <row r="14" spans="1:17" ht="17.25" customHeight="1" x14ac:dyDescent="0.45">
      <c r="A14" s="25">
        <v>10</v>
      </c>
      <c r="B14" s="26" t="s">
        <v>7</v>
      </c>
      <c r="C14" s="184">
        <f>'1.1รวมยาทั้งหมด(1+2+3+4)'!C14+'2.รวมวชย ทุกประเภท'!C14</f>
        <v>16561.8</v>
      </c>
      <c r="D14" s="184">
        <f>'1.1รวมยาทั้งหมด(1+2+3+4)'!D14+'2.รวมวชย ทุกประเภท'!D14</f>
        <v>17363.530000000002</v>
      </c>
      <c r="E14" s="184">
        <f>'1.1รวมยาทั้งหมด(1+2+3+4)'!E14+'2.รวมวชย ทุกประเภท'!E14</f>
        <v>6906.41</v>
      </c>
      <c r="F14" s="184">
        <f>'1.1รวมยาทั้งหมด(1+2+3+4)'!F14+'2.รวมวชย ทุกประเภท'!F14</f>
        <v>22418.309999999998</v>
      </c>
      <c r="G14" s="184">
        <f>'1.1รวมยาทั้งหมด(1+2+3+4)'!G14+'2.รวมวชย ทุกประเภท'!G14</f>
        <v>10240.450000000001</v>
      </c>
      <c r="H14" s="184">
        <f>'1.1รวมยาทั้งหมด(1+2+3+4)'!H14+'2.รวมวชย ทุกประเภท'!H14</f>
        <v>27868.639999999999</v>
      </c>
      <c r="I14" s="184">
        <f>'1.1รวมยาทั้งหมด(1+2+3+4)'!I14+'2.รวมวชย ทุกประเภท'!I14</f>
        <v>0</v>
      </c>
      <c r="J14" s="184">
        <f>'1.1รวมยาทั้งหมด(1+2+3+4)'!J14+'2.รวมวชย ทุกประเภท'!J14</f>
        <v>40544.300000000003</v>
      </c>
      <c r="K14" s="184">
        <f>'1.1รวมยาทั้งหมด(1+2+3+4)'!K14+'2.รวมวชย ทุกประเภท'!K14</f>
        <v>4936.7</v>
      </c>
      <c r="L14" s="184">
        <f>'1.1รวมยาทั้งหมด(1+2+3+4)'!L14+'2.รวมวชย ทุกประเภท'!L14</f>
        <v>14317.89</v>
      </c>
      <c r="M14" s="184">
        <f>'1.1รวมยาทั้งหมด(1+2+3+4)'!M14+'2.รวมวชย ทุกประเภท'!M14</f>
        <v>15999.529999999999</v>
      </c>
      <c r="N14" s="184">
        <f>'1.1รวมยาทั้งหมด(1+2+3+4)'!N14+'2.รวมวชย ทุกประเภท'!N14</f>
        <v>11191.259999999998</v>
      </c>
      <c r="O14" s="225">
        <f t="shared" si="1"/>
        <v>188348.82000000004</v>
      </c>
      <c r="P14" s="319">
        <f t="shared" si="0"/>
        <v>2.6257178784228539E-2</v>
      </c>
    </row>
    <row r="15" spans="1:17" ht="17.25" customHeight="1" x14ac:dyDescent="0.45">
      <c r="A15" s="25">
        <v>11</v>
      </c>
      <c r="B15" s="26" t="s">
        <v>8</v>
      </c>
      <c r="C15" s="184">
        <f>'1.1รวมยาทั้งหมด(1+2+3+4)'!C15+'2.รวมวชย ทุกประเภท'!C15</f>
        <v>23101.675499999998</v>
      </c>
      <c r="D15" s="184">
        <f>'1.1รวมยาทั้งหมด(1+2+3+4)'!D15+'2.รวมวชย ทุกประเภท'!D15</f>
        <v>20599.419999999998</v>
      </c>
      <c r="E15" s="184">
        <f>'1.1รวมยาทั้งหมด(1+2+3+4)'!E15+'2.รวมวชย ทุกประเภท'!E15</f>
        <v>23706.95</v>
      </c>
      <c r="F15" s="184">
        <f>'1.1รวมยาทั้งหมด(1+2+3+4)'!F15+'2.รวมวชย ทุกประเภท'!F15</f>
        <v>42064.2</v>
      </c>
      <c r="G15" s="184">
        <f>'1.1รวมยาทั้งหมด(1+2+3+4)'!G15+'2.รวมวชย ทุกประเภท'!G15</f>
        <v>9924.6500000000015</v>
      </c>
      <c r="H15" s="184">
        <f>'1.1รวมยาทั้งหมด(1+2+3+4)'!H15+'2.รวมวชย ทุกประเภท'!H15</f>
        <v>24936.87</v>
      </c>
      <c r="I15" s="184">
        <f>'1.1รวมยาทั้งหมด(1+2+3+4)'!I15+'2.รวมวชย ทุกประเภท'!I15</f>
        <v>33028.35</v>
      </c>
      <c r="J15" s="184">
        <f>'1.1รวมยาทั้งหมด(1+2+3+4)'!J15+'2.รวมวชย ทุกประเภท'!J15</f>
        <v>32333.48</v>
      </c>
      <c r="K15" s="184">
        <f>'1.1รวมยาทั้งหมด(1+2+3+4)'!K15+'2.รวมวชย ทุกประเภท'!K15</f>
        <v>25861.7</v>
      </c>
      <c r="L15" s="184">
        <f>'1.1รวมยาทั้งหมด(1+2+3+4)'!L15+'2.รวมวชย ทุกประเภท'!L15</f>
        <v>12007.12</v>
      </c>
      <c r="M15" s="184">
        <f>'1.1รวมยาทั้งหมด(1+2+3+4)'!M15+'2.รวมวชย ทุกประเภท'!M15</f>
        <v>37964.97</v>
      </c>
      <c r="N15" s="184">
        <f>'1.1รวมยาทั้งหมด(1+2+3+4)'!N15+'2.รวมวชย ทุกประเภท'!N15</f>
        <v>14521.239999999998</v>
      </c>
      <c r="O15" s="225">
        <f t="shared" si="1"/>
        <v>300050.62549999997</v>
      </c>
      <c r="P15" s="319">
        <f t="shared" si="0"/>
        <v>4.1829213042444864E-2</v>
      </c>
    </row>
    <row r="16" spans="1:17" ht="17.25" customHeight="1" x14ac:dyDescent="0.45">
      <c r="A16" s="25">
        <v>12</v>
      </c>
      <c r="B16" s="26" t="s">
        <v>9</v>
      </c>
      <c r="C16" s="184">
        <f>'1.1รวมยาทั้งหมด(1+2+3+4)'!C16+'2.รวมวชย ทุกประเภท'!C16</f>
        <v>23894.11</v>
      </c>
      <c r="D16" s="184">
        <f>'1.1รวมยาทั้งหมด(1+2+3+4)'!D16+'2.รวมวชย ทุกประเภท'!D16</f>
        <v>11101.539999999999</v>
      </c>
      <c r="E16" s="184">
        <f>'1.1รวมยาทั้งหมด(1+2+3+4)'!E16+'2.รวมวชย ทุกประเภท'!E16</f>
        <v>11216.61</v>
      </c>
      <c r="F16" s="184">
        <f>'1.1รวมยาทั้งหมด(1+2+3+4)'!F16+'2.รวมวชย ทุกประเภท'!F16</f>
        <v>16087.880000000001</v>
      </c>
      <c r="G16" s="184">
        <f>'1.1รวมยาทั้งหมด(1+2+3+4)'!G16+'2.รวมวชย ทุกประเภท'!G16</f>
        <v>21672.690000000002</v>
      </c>
      <c r="H16" s="184">
        <f>'1.1รวมยาทั้งหมด(1+2+3+4)'!H16+'2.รวมวชย ทุกประเภท'!H16</f>
        <v>16404.900000000001</v>
      </c>
      <c r="I16" s="184">
        <f>'1.1รวมยาทั้งหมด(1+2+3+4)'!I16+'2.รวมวชย ทุกประเภท'!I16</f>
        <v>16252.599999999999</v>
      </c>
      <c r="J16" s="184">
        <f>'1.1รวมยาทั้งหมด(1+2+3+4)'!J16+'2.รวมวชย ทุกประเภท'!J16</f>
        <v>16741.93</v>
      </c>
      <c r="K16" s="184">
        <f>'1.1รวมยาทั้งหมด(1+2+3+4)'!K16+'2.รวมวชย ทุกประเภท'!K16</f>
        <v>17236.18</v>
      </c>
      <c r="L16" s="184">
        <f>'1.1รวมยาทั้งหมด(1+2+3+4)'!L16+'2.รวมวชย ทุกประเภท'!L16</f>
        <v>16134.43</v>
      </c>
      <c r="M16" s="184">
        <f>'1.1รวมยาทั้งหมด(1+2+3+4)'!M16+'2.รวมวชย ทุกประเภท'!M16</f>
        <v>16600.11</v>
      </c>
      <c r="N16" s="184">
        <f>'1.1รวมยาทั้งหมด(1+2+3+4)'!N16+'2.รวมวชย ทุกประเภท'!N16</f>
        <v>19677.03</v>
      </c>
      <c r="O16" s="225">
        <f t="shared" si="1"/>
        <v>203020.00999999998</v>
      </c>
      <c r="P16" s="319">
        <f t="shared" si="0"/>
        <v>2.8302448081946381E-2</v>
      </c>
    </row>
    <row r="17" spans="1:16" ht="17.25" customHeight="1" x14ac:dyDescent="0.45">
      <c r="A17" s="25">
        <v>13</v>
      </c>
      <c r="B17" s="26" t="s">
        <v>10</v>
      </c>
      <c r="C17" s="184">
        <f>'1.1รวมยาทั้งหมด(1+2+3+4)'!C17+'2.รวมวชย ทุกประเภท'!C17</f>
        <v>0</v>
      </c>
      <c r="D17" s="184">
        <f>'1.1รวมยาทั้งหมด(1+2+3+4)'!D17+'2.รวมวชย ทุกประเภท'!D17</f>
        <v>36908.14</v>
      </c>
      <c r="E17" s="184">
        <f>'1.1รวมยาทั้งหมด(1+2+3+4)'!E17+'2.รวมวชย ทุกประเภท'!E17</f>
        <v>20784.240000000002</v>
      </c>
      <c r="F17" s="184">
        <f>'1.1รวมยาทั้งหมด(1+2+3+4)'!F17+'2.รวมวชย ทุกประเภท'!F17</f>
        <v>24127.879999999997</v>
      </c>
      <c r="G17" s="184">
        <f>'1.1รวมยาทั้งหมด(1+2+3+4)'!G17+'2.รวมวชย ทุกประเภท'!G17</f>
        <v>37320.89</v>
      </c>
      <c r="H17" s="184">
        <f>'1.1รวมยาทั้งหมด(1+2+3+4)'!H17+'2.รวมวชย ทุกประเภท'!H17</f>
        <v>800.94</v>
      </c>
      <c r="I17" s="184">
        <f>'1.1รวมยาทั้งหมด(1+2+3+4)'!I17+'2.รวมวชย ทุกประเภท'!I17</f>
        <v>26645.39</v>
      </c>
      <c r="J17" s="184">
        <f>'1.1รวมยาทั้งหมด(1+2+3+4)'!J17+'2.รวมวชย ทุกประเภท'!J17</f>
        <v>25643.360000000001</v>
      </c>
      <c r="K17" s="184">
        <f>'1.1รวมยาทั้งหมด(1+2+3+4)'!K17+'2.รวมวชย ทุกประเภท'!K17</f>
        <v>14129.72</v>
      </c>
      <c r="L17" s="184">
        <f>'1.1รวมยาทั้งหมด(1+2+3+4)'!L17+'2.รวมวชย ทุกประเภท'!L17</f>
        <v>17586.97</v>
      </c>
      <c r="M17" s="184">
        <f>'1.1รวมยาทั้งหมด(1+2+3+4)'!M17+'2.รวมวชย ทุกประเภท'!M17</f>
        <v>43917.189999999995</v>
      </c>
      <c r="N17" s="184">
        <f>'1.1รวมยาทั้งหมด(1+2+3+4)'!N17+'2.รวมวชย ทุกประเภท'!N17</f>
        <v>27154.09</v>
      </c>
      <c r="O17" s="225">
        <f t="shared" si="1"/>
        <v>275018.81000000006</v>
      </c>
      <c r="P17" s="319">
        <f t="shared" si="0"/>
        <v>3.8339598109485264E-2</v>
      </c>
    </row>
    <row r="18" spans="1:16" ht="17.25" customHeight="1" x14ac:dyDescent="0.45">
      <c r="A18" s="25">
        <v>14</v>
      </c>
      <c r="B18" s="26" t="s">
        <v>11</v>
      </c>
      <c r="C18" s="184">
        <f>'1.1รวมยาทั้งหมด(1+2+3+4)'!C18+'2.รวมวชย ทุกประเภท'!C18</f>
        <v>1263.2</v>
      </c>
      <c r="D18" s="184">
        <f>'1.1รวมยาทั้งหมด(1+2+3+4)'!D18+'2.รวมวชย ทุกประเภท'!D18</f>
        <v>20139.53</v>
      </c>
      <c r="E18" s="184">
        <f>'1.1รวมยาทั้งหมด(1+2+3+4)'!E18+'2.รวมวชย ทุกประเภท'!E18</f>
        <v>12548.09</v>
      </c>
      <c r="F18" s="184">
        <f>'1.1รวมยาทั้งหมด(1+2+3+4)'!F18+'2.รวมวชย ทุกประเภท'!F18</f>
        <v>15278.63</v>
      </c>
      <c r="G18" s="184">
        <f>'1.1รวมยาทั้งหมด(1+2+3+4)'!G18+'2.รวมวชย ทุกประเภท'!G18</f>
        <v>3366.1</v>
      </c>
      <c r="H18" s="184">
        <f>'1.1รวมยาทั้งหมด(1+2+3+4)'!H18+'2.รวมวชย ทุกประเภท'!H18</f>
        <v>8596.42</v>
      </c>
      <c r="I18" s="184">
        <f>'1.1รวมยาทั้งหมด(1+2+3+4)'!I18+'2.รวมวชย ทุกประเภท'!I18</f>
        <v>7591.81</v>
      </c>
      <c r="J18" s="184">
        <f>'1.1รวมยาทั้งหมด(1+2+3+4)'!J18+'2.รวมวชย ทุกประเภท'!J18</f>
        <v>10211.390000000001</v>
      </c>
      <c r="K18" s="184">
        <f>'1.1รวมยาทั้งหมด(1+2+3+4)'!K18+'2.รวมวชย ทุกประเภท'!K18</f>
        <v>9270.2999999999993</v>
      </c>
      <c r="L18" s="184">
        <f>'1.1รวมยาทั้งหมด(1+2+3+4)'!L18+'2.รวมวชย ทุกประเภท'!L18</f>
        <v>13267.810000000001</v>
      </c>
      <c r="M18" s="184">
        <f>'1.1รวมยาทั้งหมด(1+2+3+4)'!M18+'2.รวมวชย ทุกประเภท'!M18</f>
        <v>27619.37</v>
      </c>
      <c r="N18" s="184">
        <f>'1.1รวมยาทั้งหมด(1+2+3+4)'!N18+'2.รวมวชย ทุกประเภท'!N18</f>
        <v>0</v>
      </c>
      <c r="O18" s="225">
        <f t="shared" si="1"/>
        <v>129152.65</v>
      </c>
      <c r="P18" s="319">
        <f t="shared" si="0"/>
        <v>1.8004807364903549E-2</v>
      </c>
    </row>
    <row r="19" spans="1:16" ht="17.25" customHeight="1" x14ac:dyDescent="0.45">
      <c r="A19" s="25">
        <v>15</v>
      </c>
      <c r="B19" s="26" t="s">
        <v>12</v>
      </c>
      <c r="C19" s="184">
        <f>'1.1รวมยาทั้งหมด(1+2+3+4)'!C19+'2.รวมวชย ทุกประเภท'!C19</f>
        <v>21711.719999999998</v>
      </c>
      <c r="D19" s="184">
        <f>'1.1รวมยาทั้งหมด(1+2+3+4)'!D19+'2.รวมวชย ทุกประเภท'!D19</f>
        <v>83097.950000000012</v>
      </c>
      <c r="E19" s="184">
        <f>'1.1รวมยาทั้งหมด(1+2+3+4)'!E19+'2.รวมวชย ทุกประเภท'!E19</f>
        <v>66370.44</v>
      </c>
      <c r="F19" s="184">
        <f>'1.1รวมยาทั้งหมด(1+2+3+4)'!F19+'2.รวมวชย ทุกประเภท'!F19</f>
        <v>22352.07</v>
      </c>
      <c r="G19" s="184">
        <f>'1.1รวมยาทั้งหมด(1+2+3+4)'!G19+'2.รวมวชย ทุกประเภท'!G19</f>
        <v>26047.119999999999</v>
      </c>
      <c r="H19" s="184">
        <f>'1.1รวมยาทั้งหมด(1+2+3+4)'!H19+'2.รวมวชย ทุกประเภท'!H19</f>
        <v>58287.479999999996</v>
      </c>
      <c r="I19" s="184">
        <f>'1.1รวมยาทั้งหมด(1+2+3+4)'!I19+'2.รวมวชย ทุกประเภท'!I19</f>
        <v>51424.490000000005</v>
      </c>
      <c r="J19" s="184">
        <f>'1.1รวมยาทั้งหมด(1+2+3+4)'!J19+'2.รวมวชย ทุกประเภท'!J19</f>
        <v>46121.02</v>
      </c>
      <c r="K19" s="184">
        <f>'1.1รวมยาทั้งหมด(1+2+3+4)'!K19+'2.รวมวชย ทุกประเภท'!K19</f>
        <v>76487.409999999989</v>
      </c>
      <c r="L19" s="184">
        <f>'1.1รวมยาทั้งหมด(1+2+3+4)'!L19+'2.รวมวชย ทุกประเภท'!L19</f>
        <v>52007.32</v>
      </c>
      <c r="M19" s="184">
        <f>'1.1รวมยาทั้งหมด(1+2+3+4)'!M19+'2.รวมวชย ทุกประเภท'!M19</f>
        <v>43213.560000000005</v>
      </c>
      <c r="N19" s="184">
        <f>'1.1รวมยาทั้งหมด(1+2+3+4)'!N19+'2.รวมวชย ทุกประเภท'!N19</f>
        <v>28048.9</v>
      </c>
      <c r="O19" s="225">
        <f t="shared" si="1"/>
        <v>575169.4800000001</v>
      </c>
      <c r="P19" s="319">
        <f t="shared" si="0"/>
        <v>8.0182758074044527E-2</v>
      </c>
    </row>
    <row r="20" spans="1:16" ht="17.25" customHeight="1" x14ac:dyDescent="0.45">
      <c r="A20" s="25">
        <v>16</v>
      </c>
      <c r="B20" s="128" t="s">
        <v>13</v>
      </c>
      <c r="C20" s="184">
        <f>'1.1รวมยาทั้งหมด(1+2+3+4)'!C20+'2.รวมวชย ทุกประเภท'!C20</f>
        <v>0</v>
      </c>
      <c r="D20" s="184">
        <f>'1.1รวมยาทั้งหมด(1+2+3+4)'!D20+'2.รวมวชย ทุกประเภท'!D20</f>
        <v>4430</v>
      </c>
      <c r="E20" s="184">
        <f>'1.1รวมยาทั้งหมด(1+2+3+4)'!E20+'2.รวมวชย ทุกประเภท'!E20</f>
        <v>0</v>
      </c>
      <c r="F20" s="184">
        <f>'1.1รวมยาทั้งหมด(1+2+3+4)'!F20+'2.รวมวชย ทุกประเภท'!F20</f>
        <v>0</v>
      </c>
      <c r="G20" s="184">
        <f>'1.1รวมยาทั้งหมด(1+2+3+4)'!G20+'2.รวมวชย ทุกประเภท'!G20</f>
        <v>10317.15</v>
      </c>
      <c r="H20" s="184">
        <f>'1.1รวมยาทั้งหมด(1+2+3+4)'!H20+'2.รวมวชย ทุกประเภท'!H20</f>
        <v>16485.53</v>
      </c>
      <c r="I20" s="184">
        <f>'1.1รวมยาทั้งหมด(1+2+3+4)'!I20+'2.รวมวชย ทุกประเภท'!I20</f>
        <v>16725.099999999999</v>
      </c>
      <c r="J20" s="184">
        <f>'1.1รวมยาทั้งหมด(1+2+3+4)'!J20+'2.รวมวชย ทุกประเภท'!J20</f>
        <v>5903.2</v>
      </c>
      <c r="K20" s="184">
        <f>'1.1รวมยาทั้งหมด(1+2+3+4)'!K20+'2.รวมวชย ทุกประเภท'!K20</f>
        <v>16762.199999999997</v>
      </c>
      <c r="L20" s="184">
        <f>'1.1รวมยาทั้งหมด(1+2+3+4)'!L20+'2.รวมวชย ทุกประเภท'!L20</f>
        <v>20574.550000000003</v>
      </c>
      <c r="M20" s="184">
        <f>'1.1รวมยาทั้งหมด(1+2+3+4)'!M20+'2.รวมวชย ทุกประเภท'!M20</f>
        <v>16864.939999999999</v>
      </c>
      <c r="N20" s="184">
        <f>'1.1รวมยาทั้งหมด(1+2+3+4)'!N20+'2.รวมวชย ทุกประเภท'!N20</f>
        <v>15348.47</v>
      </c>
      <c r="O20" s="225">
        <f t="shared" si="1"/>
        <v>123411.14</v>
      </c>
      <c r="P20" s="319">
        <f t="shared" si="0"/>
        <v>1.7204399618460351E-2</v>
      </c>
    </row>
    <row r="21" spans="1:16" ht="17.25" customHeight="1" x14ac:dyDescent="0.45">
      <c r="A21" s="25">
        <v>17</v>
      </c>
      <c r="B21" s="26" t="s">
        <v>14</v>
      </c>
      <c r="C21" s="184">
        <f>'1.1รวมยาทั้งหมด(1+2+3+4)'!C21+'2.รวมวชย ทุกประเภท'!C21</f>
        <v>54466.21</v>
      </c>
      <c r="D21" s="184">
        <f>'1.1รวมยาทั้งหมด(1+2+3+4)'!D21+'2.รวมวชย ทุกประเภท'!D21</f>
        <v>32424.240000000002</v>
      </c>
      <c r="E21" s="184">
        <f>'1.1รวมยาทั้งหมด(1+2+3+4)'!E21+'2.รวมวชย ทุกประเภท'!E21</f>
        <v>19982.27</v>
      </c>
      <c r="F21" s="184">
        <f>'1.1รวมยาทั้งหมด(1+2+3+4)'!F21+'2.รวมวชย ทุกประเภท'!F21</f>
        <v>15960.01</v>
      </c>
      <c r="G21" s="184">
        <f>'1.1รวมยาทั้งหมด(1+2+3+4)'!G21+'2.รวมวชย ทุกประเภท'!G21</f>
        <v>20562.949999999997</v>
      </c>
      <c r="H21" s="184">
        <f>'1.1รวมยาทั้งหมด(1+2+3+4)'!H21+'2.รวมวชย ทุกประเภท'!H21</f>
        <v>24947.23</v>
      </c>
      <c r="I21" s="184">
        <f>'1.1รวมยาทั้งหมด(1+2+3+4)'!I21+'2.รวมวชย ทุกประเภท'!I21</f>
        <v>22780.449999999997</v>
      </c>
      <c r="J21" s="184">
        <f>'1.1รวมยาทั้งหมด(1+2+3+4)'!J21+'2.รวมวชย ทุกประเภท'!J21</f>
        <v>17587.690000000002</v>
      </c>
      <c r="K21" s="184">
        <f>'1.1รวมยาทั้งหมด(1+2+3+4)'!K21+'2.รวมวชย ทุกประเภท'!K21</f>
        <v>18588.64</v>
      </c>
      <c r="L21" s="184">
        <f>'1.1รวมยาทั้งหมด(1+2+3+4)'!L21+'2.รวมวชย ทุกประเภท'!L21</f>
        <v>41747.19</v>
      </c>
      <c r="M21" s="184">
        <f>'1.1รวมยาทั้งหมด(1+2+3+4)'!M21+'2.รวมวชย ทุกประเภท'!M21</f>
        <v>40946.69</v>
      </c>
      <c r="N21" s="184">
        <f>'1.1รวมยาทั้งหมด(1+2+3+4)'!N21+'2.รวมวชย ทุกประเภท'!N21</f>
        <v>32723.129999999997</v>
      </c>
      <c r="O21" s="225">
        <f t="shared" si="1"/>
        <v>342716.7</v>
      </c>
      <c r="P21" s="319">
        <f t="shared" si="0"/>
        <v>4.7777170381215109E-2</v>
      </c>
    </row>
    <row r="22" spans="1:16" ht="17.25" customHeight="1" x14ac:dyDescent="0.45">
      <c r="A22" s="25">
        <v>18</v>
      </c>
      <c r="B22" s="26" t="s">
        <v>15</v>
      </c>
      <c r="C22" s="184">
        <f>'1.1รวมยาทั้งหมด(1+2+3+4)'!C22+'2.รวมวชย ทุกประเภท'!C22</f>
        <v>13350.199999999999</v>
      </c>
      <c r="D22" s="184">
        <f>'1.1รวมยาทั้งหมด(1+2+3+4)'!D22+'2.รวมวชย ทุกประเภท'!D22</f>
        <v>2419.9899999999998</v>
      </c>
      <c r="E22" s="184">
        <f>'1.1รวมยาทั้งหมด(1+2+3+4)'!E22+'2.รวมวชย ทุกประเภท'!E22</f>
        <v>5443.2000000000007</v>
      </c>
      <c r="F22" s="184">
        <f>'1.1รวมยาทั้งหมด(1+2+3+4)'!F22+'2.รวมวชย ทุกประเภท'!F22</f>
        <v>8111.5</v>
      </c>
      <c r="G22" s="184">
        <f>'1.1รวมยาทั้งหมด(1+2+3+4)'!G22+'2.รวมวชย ทุกประเภท'!G22</f>
        <v>6061.91</v>
      </c>
      <c r="H22" s="184">
        <f>'1.1รวมยาทั้งหมด(1+2+3+4)'!H22+'2.รวมวชย ทุกประเภท'!H22</f>
        <v>4395.2800000000007</v>
      </c>
      <c r="I22" s="184">
        <f>'1.1รวมยาทั้งหมด(1+2+3+4)'!I22+'2.รวมวชย ทุกประเภท'!I22</f>
        <v>7726.98</v>
      </c>
      <c r="J22" s="184">
        <f>'1.1รวมยาทั้งหมด(1+2+3+4)'!J22+'2.รวมวชย ทุกประเภท'!J22</f>
        <v>85.6</v>
      </c>
      <c r="K22" s="184">
        <f>'1.1รวมยาทั้งหมด(1+2+3+4)'!K22+'2.รวมวชย ทุกประเภท'!K22</f>
        <v>11251.56</v>
      </c>
      <c r="L22" s="184">
        <f>'1.1รวมยาทั้งหมด(1+2+3+4)'!L22+'2.รวมวชย ทุกประเภท'!L22</f>
        <v>19197.16</v>
      </c>
      <c r="M22" s="184">
        <f>'1.1รวมยาทั้งหมด(1+2+3+4)'!M22+'2.รวมวชย ทุกประเภท'!M22</f>
        <v>25263.21</v>
      </c>
      <c r="N22" s="184">
        <f>'1.1รวมยาทั้งหมด(1+2+3+4)'!N22+'2.รวมวชย ทุกประเภท'!N22</f>
        <v>0</v>
      </c>
      <c r="O22" s="225">
        <f t="shared" si="1"/>
        <v>103306.59</v>
      </c>
      <c r="P22" s="319">
        <f t="shared" si="0"/>
        <v>1.4401680898340619E-2</v>
      </c>
    </row>
    <row r="23" spans="1:16" s="171" customFormat="1" ht="17.25" customHeight="1" x14ac:dyDescent="0.45">
      <c r="A23" s="45">
        <v>5.4166666666666669E-2</v>
      </c>
      <c r="B23" s="154" t="s">
        <v>22</v>
      </c>
      <c r="C23" s="189">
        <f>SUM(C5:C22)</f>
        <v>558630.7855</v>
      </c>
      <c r="D23" s="189">
        <f t="shared" ref="D23:N23" si="2">SUM(D5:D22)</f>
        <v>780507.28</v>
      </c>
      <c r="E23" s="189">
        <f t="shared" si="2"/>
        <v>411877.46</v>
      </c>
      <c r="F23" s="189">
        <f t="shared" si="2"/>
        <v>618013.6399999999</v>
      </c>
      <c r="G23" s="189">
        <f t="shared" si="2"/>
        <v>482095.84</v>
      </c>
      <c r="H23" s="189">
        <f t="shared" si="2"/>
        <v>578063.18000000005</v>
      </c>
      <c r="I23" s="189">
        <f t="shared" si="2"/>
        <v>496252.99999999994</v>
      </c>
      <c r="J23" s="189">
        <f t="shared" si="2"/>
        <v>582914.27999999991</v>
      </c>
      <c r="K23" s="189">
        <f t="shared" si="2"/>
        <v>549399.35</v>
      </c>
      <c r="L23" s="189">
        <f t="shared" si="2"/>
        <v>920870.33000000019</v>
      </c>
      <c r="M23" s="189">
        <f t="shared" si="2"/>
        <v>600492.11999999988</v>
      </c>
      <c r="N23" s="189">
        <f t="shared" si="2"/>
        <v>594114.15999999992</v>
      </c>
      <c r="O23" s="307">
        <f t="shared" si="1"/>
        <v>7173231.4254999999</v>
      </c>
      <c r="P23" s="320">
        <f t="shared" si="0"/>
        <v>1</v>
      </c>
    </row>
    <row r="24" spans="1:16" ht="17.25" customHeight="1" x14ac:dyDescent="0.45">
      <c r="A24" s="30">
        <v>19</v>
      </c>
      <c r="B24" s="31" t="s">
        <v>16</v>
      </c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225">
        <f t="shared" si="1"/>
        <v>0</v>
      </c>
      <c r="P24" s="319">
        <f t="shared" si="0"/>
        <v>0</v>
      </c>
    </row>
    <row r="25" spans="1:16" ht="17.25" customHeight="1" x14ac:dyDescent="0.45">
      <c r="A25" s="30">
        <v>20</v>
      </c>
      <c r="B25" s="26" t="s">
        <v>17</v>
      </c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225">
        <f t="shared" si="1"/>
        <v>0</v>
      </c>
      <c r="P25" s="319">
        <f t="shared" si="0"/>
        <v>0</v>
      </c>
    </row>
    <row r="26" spans="1:16" s="171" customFormat="1" ht="17.25" customHeight="1" x14ac:dyDescent="0.45">
      <c r="A26" s="49" t="s">
        <v>55</v>
      </c>
      <c r="B26" s="152" t="s">
        <v>23</v>
      </c>
      <c r="C26" s="192">
        <f>C24+C25</f>
        <v>0</v>
      </c>
      <c r="D26" s="192">
        <f t="shared" ref="D26:N26" si="3">D24+D25</f>
        <v>0</v>
      </c>
      <c r="E26" s="192">
        <f t="shared" si="3"/>
        <v>0</v>
      </c>
      <c r="F26" s="192">
        <f t="shared" si="3"/>
        <v>0</v>
      </c>
      <c r="G26" s="192">
        <f t="shared" si="3"/>
        <v>0</v>
      </c>
      <c r="H26" s="192">
        <f t="shared" si="3"/>
        <v>0</v>
      </c>
      <c r="I26" s="192">
        <f t="shared" si="3"/>
        <v>0</v>
      </c>
      <c r="J26" s="192">
        <f t="shared" si="3"/>
        <v>0</v>
      </c>
      <c r="K26" s="192">
        <f t="shared" si="3"/>
        <v>0</v>
      </c>
      <c r="L26" s="192">
        <f t="shared" si="3"/>
        <v>0</v>
      </c>
      <c r="M26" s="192">
        <f t="shared" si="3"/>
        <v>0</v>
      </c>
      <c r="N26" s="192">
        <f t="shared" si="3"/>
        <v>0</v>
      </c>
      <c r="O26" s="309">
        <f t="shared" si="1"/>
        <v>0</v>
      </c>
      <c r="P26" s="324">
        <f t="shared" si="0"/>
        <v>0</v>
      </c>
    </row>
    <row r="27" spans="1:16" s="207" customFormat="1" ht="17.25" customHeight="1" x14ac:dyDescent="0.45">
      <c r="A27" s="203" t="s">
        <v>68</v>
      </c>
      <c r="B27" s="208" t="s">
        <v>25</v>
      </c>
      <c r="C27" s="206">
        <f>C23+C26</f>
        <v>558630.7855</v>
      </c>
      <c r="D27" s="206">
        <f t="shared" ref="D27:N27" si="4">D23+D26</f>
        <v>780507.28</v>
      </c>
      <c r="E27" s="206">
        <f t="shared" si="4"/>
        <v>411877.46</v>
      </c>
      <c r="F27" s="206">
        <f t="shared" si="4"/>
        <v>618013.6399999999</v>
      </c>
      <c r="G27" s="206">
        <f t="shared" si="4"/>
        <v>482095.84</v>
      </c>
      <c r="H27" s="206">
        <f t="shared" si="4"/>
        <v>578063.18000000005</v>
      </c>
      <c r="I27" s="206">
        <f t="shared" si="4"/>
        <v>496252.99999999994</v>
      </c>
      <c r="J27" s="206">
        <f t="shared" si="4"/>
        <v>582914.27999999991</v>
      </c>
      <c r="K27" s="206">
        <f t="shared" si="4"/>
        <v>549399.35</v>
      </c>
      <c r="L27" s="206">
        <f t="shared" si="4"/>
        <v>920870.33000000019</v>
      </c>
      <c r="M27" s="206">
        <f t="shared" si="4"/>
        <v>600492.11999999988</v>
      </c>
      <c r="N27" s="206">
        <f t="shared" si="4"/>
        <v>594114.15999999992</v>
      </c>
      <c r="O27" s="206">
        <f t="shared" si="1"/>
        <v>7173231.4254999999</v>
      </c>
      <c r="P27" s="325">
        <f t="shared" si="0"/>
        <v>1</v>
      </c>
    </row>
    <row r="28" spans="1:16" ht="10.5" customHeight="1" x14ac:dyDescent="0.45"/>
    <row r="29" spans="1:16" ht="10.5" customHeight="1" x14ac:dyDescent="0.45"/>
    <row r="30" spans="1:16" ht="17.25" customHeight="1" x14ac:dyDescent="0.45">
      <c r="G30" s="3"/>
      <c r="H30" s="7" t="s">
        <v>49</v>
      </c>
      <c r="I30" s="3"/>
      <c r="J30" s="3"/>
      <c r="K30" s="3"/>
      <c r="L30" s="2"/>
      <c r="M30" s="3" t="s">
        <v>50</v>
      </c>
      <c r="N30" s="8"/>
    </row>
    <row r="31" spans="1:16" ht="17.25" customHeight="1" x14ac:dyDescent="0.45">
      <c r="G31" s="3"/>
      <c r="H31" s="3" t="s">
        <v>51</v>
      </c>
      <c r="I31" s="3"/>
      <c r="J31" s="3"/>
      <c r="K31" s="3"/>
      <c r="L31" s="2"/>
      <c r="M31" s="3" t="s">
        <v>52</v>
      </c>
      <c r="N31" s="8"/>
    </row>
    <row r="32" spans="1:16" ht="17.25" customHeight="1" x14ac:dyDescent="0.45">
      <c r="G32" s="3"/>
      <c r="H32" s="2" t="s">
        <v>53</v>
      </c>
      <c r="I32" s="2"/>
      <c r="J32" s="2"/>
      <c r="K32" s="3"/>
      <c r="L32" s="2"/>
      <c r="M32" s="3" t="s">
        <v>54</v>
      </c>
      <c r="N32" s="8"/>
    </row>
    <row r="33" spans="7:14" ht="17.25" customHeight="1" x14ac:dyDescent="0.45">
      <c r="G33" s="2"/>
      <c r="H33" s="2"/>
      <c r="I33" s="2"/>
      <c r="J33" s="2"/>
      <c r="K33" s="3"/>
      <c r="L33" s="2"/>
      <c r="M33" s="2"/>
      <c r="N33" s="4"/>
    </row>
  </sheetData>
  <printOptions horizontalCentered="1"/>
  <pageMargins left="0" right="0" top="0.55118110236220474" bottom="0.35433070866141736" header="0.11811023622047245" footer="0.11811023622047245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16</vt:i4>
      </vt:variant>
    </vt:vector>
  </HeadingPairs>
  <TitlesOfParts>
    <vt:vector size="16" baseType="lpstr">
      <vt:lpstr>สรุปยอด</vt:lpstr>
      <vt:lpstr>1.ยาทั่วไป</vt:lpstr>
      <vt:lpstr>2.ยาแพทย์ PCC</vt:lpstr>
      <vt:lpstr>3.ยาเรื้อรัง 25%</vt:lpstr>
      <vt:lpstr>4.ยาเรื้อรังฟรี</vt:lpstr>
      <vt:lpstr>5.vaccine</vt:lpstr>
      <vt:lpstr>1.1รวมยาทั้งหมด(1+2+3+4)</vt:lpstr>
      <vt:lpstr>1.2 ยาทั้งหมดรวมvaccin</vt:lpstr>
      <vt:lpstr>1.3 ยา+ไม่รวมvaccin+วชยทั้งหมด</vt:lpstr>
      <vt:lpstr>2.รวมวชย ทุกประเภท</vt:lpstr>
      <vt:lpstr>2.1วสด.การแพทย์</vt:lpstr>
      <vt:lpstr>2.2วสด.สนง</vt:lpstr>
      <vt:lpstr>2.3วสด.งานบ้าน</vt:lpstr>
      <vt:lpstr>2.4วสด. LAB</vt:lpstr>
      <vt:lpstr>2.5วสด. dent</vt:lpstr>
      <vt:lpstr>2.6วสด.เภสัช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Plagaowjr</dc:creator>
  <cp:lastModifiedBy>Windows User</cp:lastModifiedBy>
  <cp:lastPrinted>2018-08-31T02:36:44Z</cp:lastPrinted>
  <dcterms:created xsi:type="dcterms:W3CDTF">2017-10-13T14:25:05Z</dcterms:created>
  <dcterms:modified xsi:type="dcterms:W3CDTF">2018-09-24T04:11:59Z</dcterms:modified>
</cp:coreProperties>
</file>